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Ex1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drawings/drawing9.xml" ContentType="application/vnd.openxmlformats-officedocument.drawing+xml"/>
  <Override PartName="/xl/tables/table17.xml" ContentType="application/vnd.openxmlformats-officedocument.spreadsheetml.table+xml"/>
  <Override PartName="/xl/drawings/drawing10.xml" ContentType="application/vnd.openxmlformats-officedocument.drawing+xml"/>
  <Override PartName="/xl/tables/table18.xml" ContentType="application/vnd.openxmlformats-officedocument.spreadsheetml.table+xml"/>
  <Override PartName="/xl/charts/chart8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jeova\Desktop\E-MAILS MKT\"/>
    </mc:Choice>
  </mc:AlternateContent>
  <xr:revisionPtr revIDLastSave="0" documentId="8_{343E3CAE-C7E6-43D2-9C15-407E1DA2EF5A}" xr6:coauthVersionLast="47" xr6:coauthVersionMax="47" xr10:uidLastSave="{00000000-0000-0000-0000-000000000000}"/>
  <bookViews>
    <workbookView xWindow="-120" yWindow="-120" windowWidth="20730" windowHeight="11040" tabRatio="701" firstSheet="1" activeTab="8" xr2:uid="{E8A802A7-720E-4E8A-8B18-1F36DA1E6117}"/>
  </bookViews>
  <sheets>
    <sheet name="Receitas" sheetId="4" r:id="rId1"/>
    <sheet name="Despesas" sheetId="20" r:id="rId2"/>
    <sheet name="Investimentos" sheetId="22" r:id="rId3"/>
    <sheet name="Auxiliar" sheetId="24" state="hidden" r:id="rId4"/>
    <sheet name="Real" sheetId="2" r:id="rId5"/>
    <sheet name="Dashboard" sheetId="32" r:id="rId6"/>
    <sheet name="Cadastros" sheetId="3" r:id="rId7"/>
    <sheet name="Cronograma de Pagamentos" sheetId="28" r:id="rId8"/>
    <sheet name="Metas" sheetId="30" r:id="rId9"/>
  </sheets>
  <definedNames>
    <definedName name="_xlchart.v1.0" hidden="1">Auxiliar!$N$1:$N$5</definedName>
    <definedName name="_xlchart.v1.1" hidden="1">Auxiliar!$O$1:$O$5</definedName>
    <definedName name="anos">OFFSET(Auxiliar!$AD$1,0,0,Auxiliar!$W$2-Auxiliar!$W$1+1)</definedName>
    <definedName name="categoria">OFFSET(INDIRECT(Auxiliar!$Z$3),0,0,COUNTA(INDIRECT("Cadastros!" &amp; Auxiliar!$Z$4 &amp; ":" &amp; Auxiliar!$Z$4))-1,1)</definedName>
    <definedName name="IntervaloData">OFFSET(Auxiliar!$B$5,0,0,DATEDIF(Auxiliar!$C$1,Auxiliar!$C$2,"M")+1,1)</definedName>
    <definedName name="IntervaloValor">OFFSET(Auxiliar!$C$5,0,0,DATEDIF(Auxiliar!$C$1,Auxiliar!$C$2,"M")+1,1)</definedName>
    <definedName name="mov">OFFSET(Cadastros!$AC$2,0,0,COUNTA(Cadastros!$AC:$AC)-1,1)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7" i="22" l="1"/>
  <c r="F47" i="22"/>
  <c r="E64" i="4" l="1"/>
  <c r="F64" i="4"/>
  <c r="E63" i="4"/>
  <c r="F63" i="4"/>
  <c r="E62" i="4"/>
  <c r="F62" i="4"/>
  <c r="H1" i="24" a="1"/>
  <c r="H1" i="24" s="1"/>
  <c r="E57" i="4"/>
  <c r="F57" i="4"/>
  <c r="E58" i="4"/>
  <c r="F58" i="4"/>
  <c r="E59" i="4"/>
  <c r="F59" i="4"/>
  <c r="E60" i="4"/>
  <c r="F60" i="4"/>
  <c r="E61" i="4"/>
  <c r="F61" i="4"/>
  <c r="AH2" i="24" a="1"/>
  <c r="G25" i="20"/>
  <c r="H25" i="20"/>
  <c r="E15" i="22"/>
  <c r="F15" i="22"/>
  <c r="E14" i="22"/>
  <c r="F14" i="22"/>
  <c r="E12" i="22"/>
  <c r="F12" i="22"/>
  <c r="G98" i="20"/>
  <c r="H98" i="20"/>
  <c r="E8" i="4"/>
  <c r="F8" i="4"/>
  <c r="E7" i="4"/>
  <c r="F7" i="4"/>
  <c r="G7" i="20"/>
  <c r="H7" i="20"/>
  <c r="G8" i="20"/>
  <c r="H8" i="20"/>
  <c r="G15" i="20"/>
  <c r="H15" i="20"/>
  <c r="G16" i="20"/>
  <c r="H16" i="20"/>
  <c r="G17" i="20"/>
  <c r="H17" i="20"/>
  <c r="G18" i="20"/>
  <c r="H18" i="20"/>
  <c r="G14" i="20"/>
  <c r="H14" i="20"/>
  <c r="G19" i="20"/>
  <c r="H19" i="20"/>
  <c r="G20" i="20"/>
  <c r="H20" i="20"/>
  <c r="G12" i="20"/>
  <c r="H12" i="20"/>
  <c r="G13" i="20"/>
  <c r="H13" i="20"/>
  <c r="G21" i="20"/>
  <c r="H21" i="20"/>
  <c r="G48" i="20"/>
  <c r="H48" i="20"/>
  <c r="G49" i="20"/>
  <c r="H49" i="20"/>
  <c r="G50" i="20"/>
  <c r="H50" i="20"/>
  <c r="G51" i="20"/>
  <c r="H51" i="20"/>
  <c r="E21" i="22"/>
  <c r="F21" i="22"/>
  <c r="E22" i="22"/>
  <c r="F22" i="22"/>
  <c r="G44" i="20"/>
  <c r="H44" i="20"/>
  <c r="F54" i="4"/>
  <c r="G45" i="20"/>
  <c r="H45" i="20"/>
  <c r="E27" i="22"/>
  <c r="F27" i="22"/>
  <c r="E26" i="22"/>
  <c r="F26" i="22"/>
  <c r="E44" i="22"/>
  <c r="E45" i="22"/>
  <c r="E46" i="22"/>
  <c r="F44" i="22"/>
  <c r="F45" i="22"/>
  <c r="F46" i="22"/>
  <c r="E43" i="22"/>
  <c r="F43" i="22"/>
  <c r="E41" i="22"/>
  <c r="F41" i="22"/>
  <c r="G95" i="20"/>
  <c r="H95" i="20"/>
  <c r="G99" i="20"/>
  <c r="H99" i="20"/>
  <c r="G94" i="20"/>
  <c r="H94" i="20"/>
  <c r="G96" i="20"/>
  <c r="H96" i="20"/>
  <c r="G97" i="20"/>
  <c r="H97" i="20"/>
  <c r="AH2" i="24" l="1"/>
  <c r="E54" i="4" l="1"/>
  <c r="E55" i="4"/>
  <c r="E56" i="4"/>
  <c r="F55" i="4"/>
  <c r="F56" i="4"/>
  <c r="E52" i="4"/>
  <c r="F52" i="4"/>
  <c r="E53" i="4"/>
  <c r="F53" i="4"/>
  <c r="E9" i="22"/>
  <c r="F9" i="22"/>
  <c r="E8" i="22"/>
  <c r="F8" i="22"/>
  <c r="E10" i="22"/>
  <c r="F10" i="22"/>
  <c r="E11" i="22"/>
  <c r="F11" i="22"/>
  <c r="E13" i="22"/>
  <c r="F13" i="22"/>
  <c r="E7" i="22"/>
  <c r="F7" i="22"/>
  <c r="E6" i="22"/>
  <c r="F6" i="22"/>
  <c r="E16" i="22"/>
  <c r="F16" i="22"/>
  <c r="G9" i="20"/>
  <c r="H9" i="20"/>
  <c r="G10" i="20"/>
  <c r="H10" i="20"/>
  <c r="G11" i="20"/>
  <c r="H11" i="20"/>
  <c r="G22" i="20"/>
  <c r="H22" i="20"/>
  <c r="G23" i="20"/>
  <c r="H23" i="20"/>
  <c r="G24" i="20"/>
  <c r="H24" i="20"/>
  <c r="G26" i="20"/>
  <c r="H26" i="20"/>
  <c r="E6" i="4"/>
  <c r="F6" i="4"/>
  <c r="E9" i="4"/>
  <c r="F9" i="4"/>
  <c r="E10" i="4"/>
  <c r="F10" i="4"/>
  <c r="E11" i="4"/>
  <c r="F11" i="4"/>
  <c r="E12" i="4"/>
  <c r="F12" i="4"/>
  <c r="E13" i="4"/>
  <c r="F13" i="4"/>
  <c r="E14" i="4"/>
  <c r="F14" i="4"/>
  <c r="H22" i="30"/>
  <c r="D22" i="30"/>
  <c r="J13" i="30"/>
  <c r="H13" i="30"/>
  <c r="I13" i="30" s="1"/>
  <c r="F13" i="30"/>
  <c r="E13" i="30"/>
  <c r="J12" i="30"/>
  <c r="H12" i="30"/>
  <c r="I12" i="30" s="1"/>
  <c r="F12" i="30"/>
  <c r="E12" i="30"/>
  <c r="J11" i="30"/>
  <c r="H11" i="30"/>
  <c r="I11" i="30" s="1"/>
  <c r="F11" i="30"/>
  <c r="E11" i="30"/>
  <c r="J10" i="30"/>
  <c r="H10" i="30"/>
  <c r="I10" i="30" s="1"/>
  <c r="F10" i="30"/>
  <c r="E10" i="30"/>
  <c r="F13" i="28"/>
  <c r="E13" i="28"/>
  <c r="D13" i="28"/>
  <c r="F12" i="28"/>
  <c r="E12" i="28"/>
  <c r="D12" i="28"/>
  <c r="F11" i="28"/>
  <c r="E11" i="28"/>
  <c r="D11" i="28"/>
  <c r="F10" i="28"/>
  <c r="E10" i="28"/>
  <c r="D10" i="28"/>
  <c r="F9" i="28"/>
  <c r="E9" i="28"/>
  <c r="D9" i="28"/>
  <c r="F8" i="28"/>
  <c r="E8" i="28"/>
  <c r="D8" i="28"/>
  <c r="F7" i="28"/>
  <c r="E7" i="28"/>
  <c r="D7" i="28"/>
  <c r="F6" i="28"/>
  <c r="E6" i="28"/>
  <c r="D6" i="28"/>
  <c r="D2" i="28"/>
  <c r="Q15" i="24" a="1"/>
  <c r="Q15" i="24" s="1"/>
  <c r="B9" i="32" s="1"/>
  <c r="Z2" i="24" a="1"/>
  <c r="Z2" i="24" s="1"/>
  <c r="W2" i="24"/>
  <c r="C2" i="24"/>
  <c r="AD1" i="24"/>
  <c r="C1" i="24"/>
  <c r="B5" i="24" s="1"/>
  <c r="F42" i="22"/>
  <c r="E42" i="22"/>
  <c r="F40" i="22"/>
  <c r="E40" i="22"/>
  <c r="F39" i="22"/>
  <c r="E39" i="22"/>
  <c r="F38" i="22"/>
  <c r="E38" i="22"/>
  <c r="F37" i="22"/>
  <c r="E37" i="22"/>
  <c r="F36" i="22"/>
  <c r="E36" i="22"/>
  <c r="F35" i="22"/>
  <c r="E35" i="22"/>
  <c r="F34" i="22"/>
  <c r="E34" i="22"/>
  <c r="F33" i="22"/>
  <c r="E33" i="22"/>
  <c r="F32" i="22"/>
  <c r="E32" i="22"/>
  <c r="F31" i="22"/>
  <c r="E31" i="22"/>
  <c r="F30" i="22"/>
  <c r="E30" i="22"/>
  <c r="F29" i="22"/>
  <c r="E29" i="22"/>
  <c r="F28" i="22"/>
  <c r="E28" i="22"/>
  <c r="F25" i="22"/>
  <c r="E25" i="22"/>
  <c r="F24" i="22"/>
  <c r="E24" i="22"/>
  <c r="F23" i="22"/>
  <c r="E23" i="22"/>
  <c r="F20" i="22"/>
  <c r="E20" i="22"/>
  <c r="F19" i="22"/>
  <c r="E19" i="22"/>
  <c r="F18" i="22"/>
  <c r="E18" i="22"/>
  <c r="F17" i="22"/>
  <c r="E17" i="22"/>
  <c r="D3" i="22"/>
  <c r="H93" i="20"/>
  <c r="G93" i="20"/>
  <c r="H92" i="20"/>
  <c r="G92" i="20"/>
  <c r="H91" i="20"/>
  <c r="G91" i="20"/>
  <c r="H90" i="20"/>
  <c r="G90" i="20"/>
  <c r="H89" i="20"/>
  <c r="G89" i="20"/>
  <c r="H88" i="20"/>
  <c r="G88" i="20"/>
  <c r="H87" i="20"/>
  <c r="G87" i="20"/>
  <c r="H86" i="20"/>
  <c r="G86" i="20"/>
  <c r="H85" i="20"/>
  <c r="G85" i="20"/>
  <c r="H84" i="20"/>
  <c r="G84" i="20"/>
  <c r="H83" i="20"/>
  <c r="G83" i="20"/>
  <c r="H82" i="20"/>
  <c r="G82" i="20"/>
  <c r="H81" i="20"/>
  <c r="G81" i="20"/>
  <c r="H80" i="20"/>
  <c r="G80" i="20"/>
  <c r="H79" i="20"/>
  <c r="G79" i="20"/>
  <c r="H78" i="20"/>
  <c r="G78" i="20"/>
  <c r="H77" i="20"/>
  <c r="G77" i="20"/>
  <c r="H76" i="20"/>
  <c r="G76" i="20"/>
  <c r="H75" i="20"/>
  <c r="G75" i="20"/>
  <c r="H74" i="20"/>
  <c r="G74" i="20"/>
  <c r="H73" i="20"/>
  <c r="G73" i="20"/>
  <c r="H72" i="20"/>
  <c r="G72" i="20"/>
  <c r="H71" i="20"/>
  <c r="G71" i="20"/>
  <c r="H70" i="20"/>
  <c r="G70" i="20"/>
  <c r="H69" i="20"/>
  <c r="G69" i="20"/>
  <c r="H68" i="20"/>
  <c r="G68" i="20"/>
  <c r="H67" i="20"/>
  <c r="G67" i="20"/>
  <c r="H66" i="20"/>
  <c r="G66" i="20"/>
  <c r="H65" i="20"/>
  <c r="G65" i="20"/>
  <c r="H64" i="20"/>
  <c r="G64" i="20"/>
  <c r="H63" i="20"/>
  <c r="G63" i="20"/>
  <c r="H62" i="20"/>
  <c r="G62" i="20"/>
  <c r="H61" i="20"/>
  <c r="G61" i="20"/>
  <c r="H60" i="20"/>
  <c r="G60" i="20"/>
  <c r="H59" i="20"/>
  <c r="G59" i="20"/>
  <c r="H58" i="20"/>
  <c r="G58" i="20"/>
  <c r="H57" i="20"/>
  <c r="G57" i="20"/>
  <c r="H56" i="20"/>
  <c r="G56" i="20"/>
  <c r="H55" i="20"/>
  <c r="G55" i="20"/>
  <c r="H54" i="20"/>
  <c r="G54" i="20"/>
  <c r="H53" i="20"/>
  <c r="G53" i="20"/>
  <c r="H52" i="20"/>
  <c r="G52" i="20"/>
  <c r="H47" i="20"/>
  <c r="G47" i="20"/>
  <c r="H46" i="20"/>
  <c r="G46" i="20"/>
  <c r="H43" i="20"/>
  <c r="G43" i="20"/>
  <c r="H42" i="20"/>
  <c r="G42" i="20"/>
  <c r="H41" i="20"/>
  <c r="G41" i="20"/>
  <c r="H40" i="20"/>
  <c r="G40" i="20"/>
  <c r="H39" i="20"/>
  <c r="G39" i="20"/>
  <c r="H38" i="20"/>
  <c r="G38" i="20"/>
  <c r="H37" i="20"/>
  <c r="G37" i="20"/>
  <c r="H36" i="20"/>
  <c r="G36" i="20"/>
  <c r="H35" i="20"/>
  <c r="G35" i="20"/>
  <c r="H34" i="20"/>
  <c r="G34" i="20"/>
  <c r="H33" i="20"/>
  <c r="G33" i="20"/>
  <c r="H32" i="20"/>
  <c r="G32" i="20"/>
  <c r="H31" i="20"/>
  <c r="G31" i="20"/>
  <c r="H30" i="20"/>
  <c r="G30" i="20"/>
  <c r="H28" i="20"/>
  <c r="G28" i="20"/>
  <c r="H29" i="20"/>
  <c r="G29" i="20"/>
  <c r="H27" i="20"/>
  <c r="G27" i="20"/>
  <c r="H6" i="20"/>
  <c r="G6" i="20"/>
  <c r="D3" i="20"/>
  <c r="F51" i="4"/>
  <c r="E51" i="4"/>
  <c r="F50" i="4"/>
  <c r="E50" i="4"/>
  <c r="F49" i="4"/>
  <c r="E49" i="4"/>
  <c r="F48" i="4"/>
  <c r="E48" i="4"/>
  <c r="F47" i="4"/>
  <c r="E47" i="4"/>
  <c r="F46" i="4"/>
  <c r="E46" i="4"/>
  <c r="F45" i="4"/>
  <c r="E45" i="4"/>
  <c r="F44" i="4"/>
  <c r="E44" i="4"/>
  <c r="F43" i="4"/>
  <c r="E43" i="4"/>
  <c r="F42" i="4"/>
  <c r="E42" i="4"/>
  <c r="F41" i="4"/>
  <c r="E41" i="4"/>
  <c r="F40" i="4"/>
  <c r="E40" i="4"/>
  <c r="F39" i="4"/>
  <c r="E39" i="4"/>
  <c r="F38" i="4"/>
  <c r="E38" i="4"/>
  <c r="F37" i="4"/>
  <c r="E37" i="4"/>
  <c r="F36" i="4"/>
  <c r="E36" i="4"/>
  <c r="F35" i="4"/>
  <c r="E35" i="4"/>
  <c r="F34" i="4"/>
  <c r="E34" i="4"/>
  <c r="F33" i="4"/>
  <c r="E33" i="4"/>
  <c r="F32" i="4"/>
  <c r="E32" i="4"/>
  <c r="F31" i="4"/>
  <c r="E31" i="4"/>
  <c r="F30" i="4"/>
  <c r="E30" i="4"/>
  <c r="F29" i="4"/>
  <c r="E29" i="4"/>
  <c r="F28" i="4"/>
  <c r="E28" i="4"/>
  <c r="F27" i="4"/>
  <c r="E27" i="4"/>
  <c r="F26" i="4"/>
  <c r="E26" i="4"/>
  <c r="F25" i="4"/>
  <c r="E25" i="4"/>
  <c r="F24" i="4"/>
  <c r="E24" i="4"/>
  <c r="F23" i="4"/>
  <c r="E23" i="4"/>
  <c r="F22" i="4"/>
  <c r="E22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D3" i="4"/>
  <c r="Z3" i="24"/>
  <c r="AB2" i="24" a="1"/>
  <c r="C8" i="2" l="1"/>
  <c r="AD2" i="24"/>
  <c r="AD3" i="24" s="1"/>
  <c r="AD4" i="24" s="1"/>
  <c r="AD5" i="24" s="1"/>
  <c r="AD6" i="24" s="1"/>
  <c r="AD7" i="24" s="1"/>
  <c r="AD8" i="24" s="1"/>
  <c r="AD9" i="24" s="1"/>
  <c r="AD10" i="24" s="1"/>
  <c r="AD11" i="24" s="1"/>
  <c r="AD12" i="24" s="1"/>
  <c r="AD13" i="24" s="1"/>
  <c r="AD14" i="24" s="1"/>
  <c r="Z4" i="24"/>
  <c r="B11" i="32"/>
  <c r="B12" i="32"/>
  <c r="K9" i="2"/>
  <c r="C9" i="2"/>
  <c r="N9" i="2"/>
  <c r="E9" i="2"/>
  <c r="F9" i="2"/>
  <c r="G9" i="2"/>
  <c r="L9" i="2"/>
  <c r="M9" i="2"/>
  <c r="D9" i="2"/>
  <c r="H9" i="2"/>
  <c r="I9" i="2"/>
  <c r="J9" i="2"/>
  <c r="I19" i="2"/>
  <c r="F19" i="2"/>
  <c r="J12" i="2"/>
  <c r="J19" i="2"/>
  <c r="K12" i="2"/>
  <c r="K19" i="2"/>
  <c r="L11" i="2"/>
  <c r="L14" i="2"/>
  <c r="L18" i="2"/>
  <c r="M11" i="2"/>
  <c r="M15" i="2"/>
  <c r="N18" i="2"/>
  <c r="N19" i="2"/>
  <c r="C11" i="2"/>
  <c r="C12" i="2"/>
  <c r="C13" i="2"/>
  <c r="C14" i="2"/>
  <c r="C15" i="2"/>
  <c r="C16" i="2"/>
  <c r="C17" i="2"/>
  <c r="C18" i="2"/>
  <c r="C19" i="2"/>
  <c r="D11" i="2"/>
  <c r="D12" i="2"/>
  <c r="D13" i="2"/>
  <c r="D14" i="2"/>
  <c r="D15" i="2"/>
  <c r="D16" i="2"/>
  <c r="D17" i="2"/>
  <c r="D18" i="2"/>
  <c r="D19" i="2"/>
  <c r="J15" i="2"/>
  <c r="L15" i="2"/>
  <c r="M17" i="2"/>
  <c r="E12" i="2"/>
  <c r="J14" i="2"/>
  <c r="K17" i="2"/>
  <c r="N12" i="2"/>
  <c r="E18" i="2"/>
  <c r="J16" i="2"/>
  <c r="K13" i="2"/>
  <c r="M14" i="2"/>
  <c r="M19" i="2"/>
  <c r="N13" i="2"/>
  <c r="N14" i="2"/>
  <c r="N16" i="2"/>
  <c r="E11" i="2"/>
  <c r="E14" i="2"/>
  <c r="F11" i="2"/>
  <c r="F13" i="2"/>
  <c r="F15" i="2"/>
  <c r="F18" i="2"/>
  <c r="G11" i="2"/>
  <c r="G12" i="2"/>
  <c r="G14" i="2"/>
  <c r="G15" i="2"/>
  <c r="G16" i="2"/>
  <c r="G17" i="2"/>
  <c r="G18" i="2"/>
  <c r="G19" i="2"/>
  <c r="J11" i="2"/>
  <c r="J13" i="2"/>
  <c r="J17" i="2"/>
  <c r="K14" i="2"/>
  <c r="L12" i="2"/>
  <c r="L17" i="2"/>
  <c r="M12" i="2"/>
  <c r="M16" i="2"/>
  <c r="N11" i="2"/>
  <c r="N15" i="2"/>
  <c r="E13" i="2"/>
  <c r="E15" i="2"/>
  <c r="E17" i="2"/>
  <c r="E19" i="2"/>
  <c r="G13" i="2"/>
  <c r="H11" i="2"/>
  <c r="H12" i="2"/>
  <c r="H13" i="2"/>
  <c r="H14" i="2"/>
  <c r="H15" i="2"/>
  <c r="H16" i="2"/>
  <c r="H17" i="2"/>
  <c r="H18" i="2"/>
  <c r="H19" i="2"/>
  <c r="J18" i="2"/>
  <c r="K11" i="2"/>
  <c r="K15" i="2"/>
  <c r="K16" i="2"/>
  <c r="K18" i="2"/>
  <c r="L13" i="2"/>
  <c r="L16" i="2"/>
  <c r="L19" i="2"/>
  <c r="M13" i="2"/>
  <c r="M18" i="2"/>
  <c r="N17" i="2"/>
  <c r="E16" i="2"/>
  <c r="F12" i="2"/>
  <c r="F14" i="2"/>
  <c r="F16" i="2"/>
  <c r="F17" i="2"/>
  <c r="I11" i="2"/>
  <c r="I12" i="2"/>
  <c r="I13" i="2"/>
  <c r="I14" i="2"/>
  <c r="I15" i="2"/>
  <c r="I16" i="2"/>
  <c r="I17" i="2"/>
  <c r="I18" i="2"/>
  <c r="N8" i="2"/>
  <c r="G8" i="2"/>
  <c r="I8" i="2"/>
  <c r="J8" i="2"/>
  <c r="D8" i="2"/>
  <c r="E8" i="2"/>
  <c r="B6" i="24"/>
  <c r="B7" i="24" s="1"/>
  <c r="B8" i="24" s="1"/>
  <c r="B9" i="24" s="1"/>
  <c r="B10" i="24" s="1"/>
  <c r="B11" i="24" s="1"/>
  <c r="B12" i="24" s="1"/>
  <c r="B13" i="24" s="1"/>
  <c r="B14" i="24" s="1"/>
  <c r="B15" i="24" s="1"/>
  <c r="B16" i="24" s="1"/>
  <c r="B17" i="24" s="1"/>
  <c r="F8" i="2"/>
  <c r="H8" i="2"/>
  <c r="K8" i="2"/>
  <c r="L8" i="2"/>
  <c r="M8" i="2"/>
  <c r="AB2" i="24"/>
  <c r="A31" i="2" s="1"/>
  <c r="T2" i="24" l="1"/>
  <c r="T3" i="24"/>
  <c r="T5" i="24"/>
  <c r="T6" i="24"/>
  <c r="T7" i="24"/>
  <c r="T8" i="24"/>
  <c r="T9" i="24"/>
  <c r="T10" i="24"/>
  <c r="T11" i="24"/>
  <c r="T12" i="24"/>
  <c r="T13" i="24"/>
  <c r="T4" i="24"/>
  <c r="AE2" i="24" a="1"/>
  <c r="AE2" i="24" s="1"/>
  <c r="B8" i="32" s="1"/>
  <c r="O9" i="2"/>
  <c r="L10" i="2"/>
  <c r="L21" i="2" s="1"/>
  <c r="M10" i="2"/>
  <c r="M21" i="2" s="1"/>
  <c r="I10" i="2"/>
  <c r="I21" i="2" s="1"/>
  <c r="H10" i="2"/>
  <c r="H21" i="2" s="1"/>
  <c r="F10" i="2"/>
  <c r="F21" i="2" s="1"/>
  <c r="K10" i="2"/>
  <c r="K21" i="2" s="1"/>
  <c r="J10" i="2"/>
  <c r="J21" i="2" s="1"/>
  <c r="O11" i="2"/>
  <c r="O19" i="2"/>
  <c r="O17" i="2"/>
  <c r="O16" i="2"/>
  <c r="E10" i="2"/>
  <c r="E21" i="2" s="1"/>
  <c r="C10" i="2"/>
  <c r="C21" i="2" s="1"/>
  <c r="N10" i="2"/>
  <c r="N21" i="2" s="1"/>
  <c r="G10" i="2"/>
  <c r="G21" i="2" s="1"/>
  <c r="O13" i="2"/>
  <c r="D10" i="2"/>
  <c r="D21" i="2" s="1"/>
  <c r="O18" i="2"/>
  <c r="O15" i="2"/>
  <c r="O14" i="2"/>
  <c r="O12" i="2"/>
  <c r="B18" i="24"/>
  <c r="C17" i="24"/>
  <c r="O8" i="2"/>
  <c r="C6" i="24"/>
  <c r="C12" i="24"/>
  <c r="C15" i="24"/>
  <c r="C11" i="24"/>
  <c r="C8" i="24"/>
  <c r="C5" i="24"/>
  <c r="C16" i="24"/>
  <c r="C13" i="24"/>
  <c r="C9" i="24"/>
  <c r="C14" i="24"/>
  <c r="C10" i="24"/>
  <c r="C7" i="24"/>
  <c r="T14" i="24" l="1"/>
  <c r="AI4" i="24"/>
  <c r="AI5" i="24"/>
  <c r="AI2" i="24"/>
  <c r="AI3" i="24"/>
  <c r="AK3" i="24"/>
  <c r="AK4" i="24"/>
  <c r="AK5" i="24"/>
  <c r="AK2" i="24"/>
  <c r="AJ3" i="24"/>
  <c r="AJ4" i="24"/>
  <c r="AJ5" i="24"/>
  <c r="AJ2" i="24"/>
  <c r="G3" i="24"/>
  <c r="B16" i="32"/>
  <c r="B24" i="32"/>
  <c r="B25" i="32"/>
  <c r="L8" i="24"/>
  <c r="L1" i="24"/>
  <c r="L7" i="24"/>
  <c r="O5" i="24"/>
  <c r="G1" i="24"/>
  <c r="I2" i="24"/>
  <c r="L4" i="24"/>
  <c r="O3" i="24"/>
  <c r="L2" i="24"/>
  <c r="O4" i="24"/>
  <c r="B26" i="32"/>
  <c r="G13" i="24"/>
  <c r="L5" i="24"/>
  <c r="L3" i="24"/>
  <c r="G14" i="24"/>
  <c r="O2" i="24"/>
  <c r="I1" i="24"/>
  <c r="I3" i="24"/>
  <c r="O1" i="24"/>
  <c r="I4" i="24"/>
  <c r="L6" i="24"/>
  <c r="G2" i="24"/>
  <c r="I5" i="24"/>
  <c r="O10" i="2"/>
  <c r="O21" i="2" s="1"/>
  <c r="C23" i="2"/>
  <c r="D23" i="2" s="1"/>
  <c r="E23" i="2" s="1"/>
  <c r="F23" i="2" s="1"/>
  <c r="G23" i="2" s="1"/>
  <c r="H23" i="2" s="1"/>
  <c r="I23" i="2" s="1"/>
  <c r="J23" i="2" s="1"/>
  <c r="K23" i="2" s="1"/>
  <c r="L23" i="2" s="1"/>
  <c r="M23" i="2" s="1"/>
  <c r="N23" i="2" s="1"/>
  <c r="O23" i="2" s="1"/>
  <c r="C18" i="24"/>
  <c r="B19" i="24"/>
  <c r="AL3" i="24" l="1"/>
  <c r="AO3" i="24" s="1"/>
  <c r="AL2" i="24"/>
  <c r="AO2" i="24" s="1"/>
  <c r="AL5" i="24"/>
  <c r="AO5" i="24" s="1"/>
  <c r="AL4" i="24"/>
  <c r="AO4" i="24" s="1"/>
  <c r="AF8" i="24"/>
  <c r="B17" i="32"/>
  <c r="H14" i="24"/>
  <c r="H13" i="24"/>
  <c r="N36" i="24" a="1"/>
  <c r="N36" i="24" s="1"/>
  <c r="B18" i="32"/>
  <c r="F19" i="24"/>
  <c r="G19" i="24" s="1"/>
  <c r="H21" i="24" s="1"/>
  <c r="G4" i="24"/>
  <c r="F36" i="24" s="1" a="1"/>
  <c r="F36" i="24" s="1"/>
  <c r="K36" i="24" a="1"/>
  <c r="K36" i="24" s="1"/>
  <c r="F17" i="24"/>
  <c r="AE8" i="24"/>
  <c r="C19" i="24"/>
  <c r="B20" i="24"/>
  <c r="AN4" i="24" l="1"/>
  <c r="AM4" i="24"/>
  <c r="AM5" i="24"/>
  <c r="AN5" i="24"/>
  <c r="AM2" i="24"/>
  <c r="AN2" i="24"/>
  <c r="AN3" i="24"/>
  <c r="AM3" i="24"/>
  <c r="F21" i="24"/>
  <c r="F23" i="24" s="1"/>
  <c r="C20" i="24"/>
  <c r="B21" i="24"/>
  <c r="C21" i="24" l="1"/>
  <c r="B22" i="24"/>
  <c r="C22" i="24" l="1"/>
  <c r="B23" i="24"/>
  <c r="B24" i="24" l="1"/>
  <c r="C23" i="24"/>
  <c r="C24" i="24" l="1"/>
  <c r="B25" i="24"/>
  <c r="C25" i="24" l="1"/>
  <c r="B26" i="24"/>
  <c r="C26" i="24" l="1"/>
  <c r="B27" i="24"/>
  <c r="C27" i="24" l="1"/>
  <c r="B28" i="24"/>
  <c r="C28" i="24" l="1"/>
  <c r="B29" i="24"/>
  <c r="C29" i="24" l="1"/>
  <c r="B30" i="24"/>
  <c r="C30" i="24" l="1"/>
  <c r="B31" i="24"/>
  <c r="C31" i="24" l="1"/>
  <c r="B32" i="24"/>
  <c r="C32" i="24" l="1"/>
  <c r="B33" i="24"/>
  <c r="C33" i="24" l="1"/>
  <c r="B34" i="24"/>
  <c r="C34" i="24" l="1"/>
  <c r="B35" i="24"/>
  <c r="B36" i="24" l="1"/>
  <c r="C35" i="24"/>
  <c r="C36" i="24" l="1"/>
  <c r="B37" i="24"/>
  <c r="C37" i="24" l="1"/>
  <c r="B38" i="24"/>
  <c r="C38" i="24" l="1"/>
  <c r="B39" i="24"/>
  <c r="C39" i="24" l="1"/>
  <c r="B40" i="24"/>
  <c r="C40" i="24" l="1"/>
  <c r="B41" i="24"/>
  <c r="B42" i="24" l="1"/>
  <c r="C41" i="24"/>
  <c r="C42" i="24" l="1"/>
  <c r="B43" i="24"/>
  <c r="C43" i="24" l="1"/>
  <c r="B44" i="24"/>
  <c r="C44" i="24" l="1"/>
  <c r="B45" i="24"/>
  <c r="C45" i="24" l="1"/>
  <c r="B46" i="24"/>
  <c r="C46" i="24" l="1"/>
  <c r="B47" i="24"/>
  <c r="B48" i="24" l="1"/>
  <c r="C47" i="24"/>
  <c r="C48" i="24" l="1"/>
  <c r="B49" i="24"/>
  <c r="C49" i="24" l="1"/>
  <c r="B50" i="24"/>
  <c r="C50" i="24" l="1"/>
  <c r="B51" i="24"/>
  <c r="C51" i="24" l="1"/>
  <c r="B52" i="24"/>
  <c r="C52" i="24" l="1"/>
  <c r="B53" i="24"/>
  <c r="B54" i="24" l="1"/>
  <c r="C53" i="24"/>
  <c r="C54" i="24" l="1"/>
  <c r="B55" i="24"/>
  <c r="C55" i="24" l="1"/>
  <c r="B56" i="24"/>
  <c r="C56" i="24" l="1"/>
  <c r="B57" i="24"/>
  <c r="C57" i="24" l="1"/>
  <c r="B58" i="24"/>
  <c r="C58" i="24" l="1"/>
  <c r="B59" i="24"/>
  <c r="C59" i="24" l="1"/>
  <c r="B60" i="24"/>
  <c r="C60" i="24" l="1"/>
  <c r="B61" i="24"/>
  <c r="C61" i="24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<sst xmlns="http://schemas.openxmlformats.org/spreadsheetml/2006/main" count="847" uniqueCount="193">
  <si>
    <t>Salário</t>
  </si>
  <si>
    <t>Férias</t>
  </si>
  <si>
    <t>13º Salário</t>
  </si>
  <si>
    <t>Aposentadoria</t>
  </si>
  <si>
    <t>Alimentação</t>
  </si>
  <si>
    <t>Supermercado</t>
  </si>
  <si>
    <t>Padaria</t>
  </si>
  <si>
    <t>Refeição fora de casa</t>
  </si>
  <si>
    <t>Moradia</t>
  </si>
  <si>
    <t>Condomínio</t>
  </si>
  <si>
    <t>Consumo de água</t>
  </si>
  <si>
    <t>Decoração da casa</t>
  </si>
  <si>
    <t>Celular</t>
  </si>
  <si>
    <t>Educação</t>
  </si>
  <si>
    <t>Material Escolar</t>
  </si>
  <si>
    <t>Outros cursos</t>
  </si>
  <si>
    <t>Saúde</t>
  </si>
  <si>
    <t>Medicamentos</t>
  </si>
  <si>
    <t>Dentista</t>
  </si>
  <si>
    <t>Transporte</t>
  </si>
  <si>
    <t>Combustível</t>
  </si>
  <si>
    <t>Estacionamento</t>
  </si>
  <si>
    <t>IPVA</t>
  </si>
  <si>
    <t>Pessoais</t>
  </si>
  <si>
    <t>Lazer</t>
  </si>
  <si>
    <t>Empréstimos</t>
  </si>
  <si>
    <t>Seguros (vida/residencial)</t>
  </si>
  <si>
    <t>Previdência privada</t>
  </si>
  <si>
    <t>Tarifas bancárias</t>
  </si>
  <si>
    <t>Financiamento de veículo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</si>
  <si>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</si>
  <si>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</si>
  <si>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</si>
  <si>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</si>
  <si>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</si>
  <si>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</si>
  <si>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</si>
  <si>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</si>
  <si>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</si>
  <si>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</si>
  <si>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</si>
  <si>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</si>
  <si>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</si>
  <si>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Taxi/Uber</t>
  </si>
  <si>
    <t>Saldo acumulado</t>
  </si>
  <si>
    <t>Resumo do total de receitas e despesas</t>
  </si>
  <si>
    <t>Receita</t>
  </si>
  <si>
    <t>Saldo</t>
  </si>
  <si>
    <t>Feira  / Sacolão</t>
  </si>
  <si>
    <t>Prestação /Aluguel de imóvel</t>
  </si>
  <si>
    <t>Serviço de limpeza( diarista ou mensalista)</t>
  </si>
  <si>
    <t>Telefone fixo</t>
  </si>
  <si>
    <t>Internet / TV a cabo</t>
  </si>
  <si>
    <t xml:space="preserve">Matricula Escolar/ Mensalidade </t>
  </si>
  <si>
    <t xml:space="preserve">Ração </t>
  </si>
  <si>
    <t>Banho / Tosa</t>
  </si>
  <si>
    <t>Veterinário / medicamento</t>
  </si>
  <si>
    <t>Outros (acessórios, brinquedos, hotel, dog walker)</t>
  </si>
  <si>
    <t>Plano de saúde</t>
  </si>
  <si>
    <t>Terapia / Psicólogo  / Acupuntura</t>
  </si>
  <si>
    <t>Médicos/Exames fora do plano de saúde</t>
  </si>
  <si>
    <t>Academia / Tratamento Estético</t>
  </si>
  <si>
    <t>Ônibus / Metrô</t>
  </si>
  <si>
    <t>Seguro Auto</t>
  </si>
  <si>
    <t>Manutenção / Lavagem / Troca de óleo</t>
  </si>
  <si>
    <t>Licenciamento</t>
  </si>
  <si>
    <t>Vestuário / Calçados / Acessórios</t>
  </si>
  <si>
    <t>Cabeleireiro / Manicure / Higiene pessoal</t>
  </si>
  <si>
    <t xml:space="preserve">Presentes </t>
  </si>
  <si>
    <t xml:space="preserve">Outros  </t>
  </si>
  <si>
    <t>Cinema / Teatro / Shows</t>
  </si>
  <si>
    <t xml:space="preserve">Viagens </t>
  </si>
  <si>
    <t>Restaurantes / Bares / Festas</t>
  </si>
  <si>
    <t>Juros Cheque Especial</t>
  </si>
  <si>
    <t>Pagamento da fatura do cartão de crédito</t>
  </si>
  <si>
    <t xml:space="preserve">Imposto de Renda a Pagar </t>
  </si>
  <si>
    <t>Saque</t>
  </si>
  <si>
    <t>Data</t>
  </si>
  <si>
    <t>Investimentos</t>
  </si>
  <si>
    <t>Ações</t>
  </si>
  <si>
    <t>Tesouro Direto</t>
  </si>
  <si>
    <t>Renda Fixa</t>
  </si>
  <si>
    <t>Previdência Privada</t>
  </si>
  <si>
    <t>Despesa Total</t>
  </si>
  <si>
    <t>Pet</t>
  </si>
  <si>
    <t>Financeiros</t>
  </si>
  <si>
    <t>Mês</t>
  </si>
  <si>
    <t>Valor R$</t>
  </si>
  <si>
    <t>Ano</t>
  </si>
  <si>
    <t>Banco do Brasil</t>
  </si>
  <si>
    <t>Nubank</t>
  </si>
  <si>
    <t>Dinheiro</t>
  </si>
  <si>
    <t>Tabela de Despesas</t>
  </si>
  <si>
    <t>Tabela de Receitas</t>
  </si>
  <si>
    <t>Destino</t>
  </si>
  <si>
    <t>Boletos</t>
  </si>
  <si>
    <t>Bônus</t>
  </si>
  <si>
    <t>Origem</t>
  </si>
  <si>
    <t>Fonte</t>
  </si>
  <si>
    <t>Tabela de Investimentos</t>
  </si>
  <si>
    <t>Investimento</t>
  </si>
  <si>
    <t>Poupança</t>
  </si>
  <si>
    <t>Total Renda</t>
  </si>
  <si>
    <t>Total Despesa</t>
  </si>
  <si>
    <t>Saldo em Conta</t>
  </si>
  <si>
    <t>Todos</t>
  </si>
  <si>
    <t>Categoria</t>
  </si>
  <si>
    <t>Valor</t>
  </si>
  <si>
    <t>Mínimo</t>
  </si>
  <si>
    <t>Máximo</t>
  </si>
  <si>
    <t>Fonte/Destino</t>
  </si>
  <si>
    <t>Itaú</t>
  </si>
  <si>
    <t>Ano Mínimo</t>
  </si>
  <si>
    <t>Ano Máximo</t>
  </si>
  <si>
    <t>Opções</t>
  </si>
  <si>
    <t>Tipo de Gasto</t>
  </si>
  <si>
    <t>Detalhamento</t>
  </si>
  <si>
    <t xml:space="preserve">Livros / Revistas </t>
  </si>
  <si>
    <t>Clubes / Parques</t>
  </si>
  <si>
    <t>Despesa Fixa</t>
  </si>
  <si>
    <t>Despesa Variável</t>
  </si>
  <si>
    <t>Gráfico de Despesas Fixas e Variáveis</t>
  </si>
  <si>
    <t>**Caso você analise mais anos, alterar o ano mínimo e máximo**</t>
  </si>
  <si>
    <t>Conta</t>
  </si>
  <si>
    <t>Prazo de Pagamento</t>
  </si>
  <si>
    <t>Data de Vencimento</t>
  </si>
  <si>
    <t xml:space="preserve"> Boleto do Aluguel</t>
  </si>
  <si>
    <t>Boleto Consumo de Água</t>
  </si>
  <si>
    <t>Prestação Carro</t>
  </si>
  <si>
    <t>Boleto Energia Elétrica</t>
  </si>
  <si>
    <t>Boleto Internet</t>
  </si>
  <si>
    <t>Parcela Empréstimo</t>
  </si>
  <si>
    <t>Cronograma de Próximos Pagamentos</t>
  </si>
  <si>
    <t>Contas Atrasadas</t>
  </si>
  <si>
    <t>Parcela Celular</t>
  </si>
  <si>
    <t>Parcela TV</t>
  </si>
  <si>
    <t>Valor Total R$</t>
  </si>
  <si>
    <t>Valor Acumulado R$</t>
  </si>
  <si>
    <t>Data Meta</t>
  </si>
  <si>
    <t>Prazo em Meses</t>
  </si>
  <si>
    <t>Status Atual</t>
  </si>
  <si>
    <t>Viagem Internacional</t>
  </si>
  <si>
    <t>Carro Novo</t>
  </si>
  <si>
    <t>Reserva de Emergência</t>
  </si>
  <si>
    <t>Próximas Metas</t>
  </si>
  <si>
    <t>Casa Nova</t>
  </si>
  <si>
    <t>Meta</t>
  </si>
  <si>
    <t>Falta para o valor total (%)</t>
  </si>
  <si>
    <t>Acumulado (%)</t>
  </si>
  <si>
    <t xml:space="preserve"> </t>
  </si>
  <si>
    <t>Valor a Poupar por Mês</t>
  </si>
  <si>
    <t>Outros (café, água, sorvetes, etc)</t>
  </si>
  <si>
    <t>Energia Elétrica</t>
  </si>
  <si>
    <t>Gás</t>
  </si>
  <si>
    <t>IPTU</t>
  </si>
  <si>
    <t>Manutenção / Reforma da casa</t>
  </si>
  <si>
    <t>Digite o quanto deseja investir por mês</t>
  </si>
  <si>
    <t>Taxa de rendimento média da previdência (ao ano)</t>
  </si>
  <si>
    <t>Total Investido</t>
  </si>
  <si>
    <t>Rendimento Mensal</t>
  </si>
  <si>
    <t>Pedágio</t>
  </si>
  <si>
    <t>Quantidade de anos a investir</t>
  </si>
  <si>
    <t>Digite o ano a ser analisado</t>
  </si>
  <si>
    <t>Meta de Gastos por mês</t>
  </si>
  <si>
    <t xml:space="preserve">a.a. </t>
  </si>
  <si>
    <t>Cumprido</t>
  </si>
  <si>
    <t>Faltante</t>
  </si>
  <si>
    <t>Marcador</t>
  </si>
  <si>
    <t>Gasto</t>
  </si>
  <si>
    <t>Tipo de Movimentação</t>
  </si>
  <si>
    <t>Histórico Geral por Movimentação e Categoria</t>
  </si>
  <si>
    <t>Receita por fonte</t>
  </si>
  <si>
    <t>Despesa por fonte</t>
  </si>
  <si>
    <t>Investimento por fonte</t>
  </si>
  <si>
    <t>Outras receitas</t>
  </si>
  <si>
    <t>Positivos</t>
  </si>
  <si>
    <t>Negativos</t>
  </si>
  <si>
    <t>Originais</t>
  </si>
  <si>
    <t>Rótulo oculto do gráfico</t>
  </si>
  <si>
    <t/>
  </si>
  <si>
    <t>valor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</si>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</sst>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\ * #,##0_-;\-&quot;R$&quot;\ * #,##0_-;_-&quot;R$&quot;\ * &quot;-&quot;??_-;_-@_-"/>
    <numFmt numFmtId="165" formatCode="0.0%"/>
    <numFmt numFmtId="166" formatCode="&quot;R$&quot;\ #,##0.0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26"/>
      <color theme="4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Montserrat"/>
    </font>
    <font>
      <sz val="12"/>
      <color theme="1"/>
      <name val="Montserrat"/>
    </font>
    <font>
      <b/>
      <sz val="16"/>
      <color theme="1"/>
      <name val="Montserrat"/>
    </font>
    <font>
      <b/>
      <sz val="11"/>
      <color rgb="FF043424"/>
      <name val="Calibri"/>
      <family val="2"/>
      <scheme val="minor"/>
    </font>
    <font>
      <sz val="10"/>
      <color theme="1"/>
      <name val="Montserrat"/>
    </font>
    <font>
      <sz val="11"/>
      <color theme="0"/>
      <name val="Montserrat"/>
    </font>
    <font>
      <sz val="12"/>
      <color theme="1" tint="4.9989318521683403E-2"/>
      <name val="Montserrat"/>
    </font>
    <font>
      <sz val="11"/>
      <color theme="1" tint="4.9989318521683403E-2"/>
      <name val="Calibri"/>
      <family val="2"/>
      <scheme val="minor"/>
    </font>
    <font>
      <b/>
      <sz val="12"/>
      <color theme="1" tint="4.9989318521683403E-2"/>
      <name val="Montserrat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043424"/>
        <bgColor indexed="64"/>
      </patternFill>
    </fill>
    <fill>
      <patternFill patternType="solid">
        <fgColor rgb="FFA9D18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64E36"/>
        <bgColor indexed="64"/>
      </patternFill>
    </fill>
    <fill>
      <patternFill patternType="solid">
        <fgColor theme="4" tint="-0.499984740745262"/>
        <bgColor indexed="64"/>
      </patternFill>
    </fill>
  </fills>
  <borders count="4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43424"/>
      </left>
      <right style="thin">
        <color rgb="FF043424"/>
      </right>
      <top style="thin">
        <color rgb="FF043424"/>
      </top>
      <bottom style="thin">
        <color rgb="FF043424"/>
      </bottom>
      <diagonal/>
    </border>
    <border>
      <left/>
      <right style="thin">
        <color rgb="FF043424"/>
      </right>
      <top style="thin">
        <color rgb="FF043424"/>
      </top>
      <bottom style="thin">
        <color rgb="FF043424"/>
      </bottom>
      <diagonal/>
    </border>
    <border>
      <left style="thin">
        <color rgb="FF043424"/>
      </left>
      <right/>
      <top style="thin">
        <color rgb="FF043424"/>
      </top>
      <bottom style="thin">
        <color rgb="FF043424"/>
      </bottom>
      <diagonal/>
    </border>
    <border>
      <left style="thin">
        <color rgb="FF043424"/>
      </left>
      <right style="thin">
        <color rgb="FF043424"/>
      </right>
      <top/>
      <bottom style="thin">
        <color rgb="FF043424"/>
      </bottom>
      <diagonal/>
    </border>
    <border>
      <left style="thin">
        <color rgb="FF043424"/>
      </left>
      <right/>
      <top style="thin">
        <color rgb="FF043424"/>
      </top>
      <bottom/>
      <diagonal/>
    </border>
    <border>
      <left/>
      <right style="thin">
        <color rgb="FF043424"/>
      </right>
      <top/>
      <bottom style="thin">
        <color rgb="FF043424"/>
      </bottom>
      <diagonal/>
    </border>
    <border>
      <left style="thin">
        <color rgb="FF043424"/>
      </left>
      <right/>
      <top/>
      <bottom style="thin">
        <color rgb="FF043424"/>
      </bottom>
      <diagonal/>
    </border>
    <border>
      <left style="medium">
        <color rgb="FF043424"/>
      </left>
      <right style="thin">
        <color rgb="FF043424"/>
      </right>
      <top style="medium">
        <color rgb="FF043424"/>
      </top>
      <bottom style="medium">
        <color rgb="FF043424"/>
      </bottom>
      <diagonal/>
    </border>
    <border>
      <left style="thin">
        <color rgb="FF043424"/>
      </left>
      <right style="thin">
        <color rgb="FF043424"/>
      </right>
      <top style="medium">
        <color rgb="FF043424"/>
      </top>
      <bottom style="medium">
        <color rgb="FF043424"/>
      </bottom>
      <diagonal/>
    </border>
    <border>
      <left/>
      <right style="thin">
        <color rgb="FF043424"/>
      </right>
      <top style="medium">
        <color rgb="FF043424"/>
      </top>
      <bottom style="medium">
        <color rgb="FF043424"/>
      </bottom>
      <diagonal/>
    </border>
    <border>
      <left style="thin">
        <color rgb="FF043424"/>
      </left>
      <right/>
      <top style="medium">
        <color rgb="FF043424"/>
      </top>
      <bottom style="medium">
        <color rgb="FF043424"/>
      </bottom>
      <diagonal/>
    </border>
    <border>
      <left style="thin">
        <color rgb="FF043424"/>
      </left>
      <right style="medium">
        <color rgb="FF043424"/>
      </right>
      <top style="medium">
        <color rgb="FF043424"/>
      </top>
      <bottom style="medium">
        <color rgb="FF043424"/>
      </bottom>
      <diagonal/>
    </border>
    <border>
      <left/>
      <right/>
      <top style="medium">
        <color rgb="FF043424"/>
      </top>
      <bottom/>
      <diagonal/>
    </border>
    <border>
      <left style="medium">
        <color rgb="FF043424"/>
      </left>
      <right style="thin">
        <color rgb="FF043424"/>
      </right>
      <top style="medium">
        <color rgb="FF043424"/>
      </top>
      <bottom/>
      <diagonal/>
    </border>
    <border>
      <left style="thin">
        <color rgb="FF043424"/>
      </left>
      <right style="thin">
        <color rgb="FF043424"/>
      </right>
      <top style="medium">
        <color rgb="FF043424"/>
      </top>
      <bottom/>
      <diagonal/>
    </border>
    <border>
      <left style="medium">
        <color rgb="FF043424"/>
      </left>
      <right style="thin">
        <color rgb="FF043424"/>
      </right>
      <top/>
      <bottom style="thin">
        <color rgb="FF043424"/>
      </bottom>
      <diagonal/>
    </border>
    <border>
      <left style="thin">
        <color rgb="FF043424"/>
      </left>
      <right style="medium">
        <color rgb="FF043424"/>
      </right>
      <top/>
      <bottom style="thin">
        <color rgb="FF043424"/>
      </bottom>
      <diagonal/>
    </border>
    <border>
      <left style="medium">
        <color rgb="FF043424"/>
      </left>
      <right style="thin">
        <color rgb="FF043424"/>
      </right>
      <top style="thin">
        <color rgb="FF043424"/>
      </top>
      <bottom style="thin">
        <color rgb="FF043424"/>
      </bottom>
      <diagonal/>
    </border>
    <border>
      <left style="thin">
        <color rgb="FF043424"/>
      </left>
      <right style="medium">
        <color rgb="FF043424"/>
      </right>
      <top style="thin">
        <color rgb="FF043424"/>
      </top>
      <bottom style="thin">
        <color rgb="FF043424"/>
      </bottom>
      <diagonal/>
    </border>
    <border>
      <left style="medium">
        <color rgb="FF043424"/>
      </left>
      <right/>
      <top/>
      <bottom style="medium">
        <color rgb="FF043424"/>
      </bottom>
      <diagonal/>
    </border>
    <border>
      <left/>
      <right/>
      <top/>
      <bottom style="medium">
        <color rgb="FF043424"/>
      </bottom>
      <diagonal/>
    </border>
    <border>
      <left/>
      <right style="medium">
        <color rgb="FF043424"/>
      </right>
      <top/>
      <bottom style="medium">
        <color rgb="FF043424"/>
      </bottom>
      <diagonal/>
    </border>
    <border>
      <left/>
      <right style="thin">
        <color rgb="FF043424"/>
      </right>
      <top/>
      <bottom/>
      <diagonal/>
    </border>
    <border>
      <left/>
      <right/>
      <top style="medium">
        <color rgb="FF043424"/>
      </top>
      <bottom style="thin">
        <color rgb="FF043424"/>
      </bottom>
      <diagonal/>
    </border>
    <border>
      <left/>
      <right/>
      <top style="thin">
        <color rgb="FF043424"/>
      </top>
      <bottom style="thin">
        <color rgb="FF043424"/>
      </bottom>
      <diagonal/>
    </border>
    <border>
      <left/>
      <right/>
      <top style="thin">
        <color rgb="FF043424"/>
      </top>
      <bottom/>
      <diagonal/>
    </border>
    <border>
      <left/>
      <right/>
      <top/>
      <bottom style="thin">
        <color rgb="FF04342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 style="medium">
        <color rgb="FF043424"/>
      </top>
      <bottom style="thin">
        <color rgb="FF04342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9" tint="0.39997558519241921"/>
      </left>
      <right style="medium">
        <color theme="9" tint="0.39997558519241921"/>
      </right>
      <top style="medium">
        <color theme="9" tint="0.39997558519241921"/>
      </top>
      <bottom style="medium">
        <color theme="9" tint="0.3999755851924192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38">
    <xf numFmtId="0" fontId="0" fillId="0" borderId="0" xfId="0"/>
    <xf numFmtId="0" fontId="5" fillId="0" borderId="0" xfId="0" applyFont="1" applyAlignment="1">
      <alignment horizontal="left" indent="10"/>
    </xf>
    <xf numFmtId="0" fontId="3" fillId="0" borderId="0" xfId="0" applyFont="1" applyAlignment="1">
      <alignment horizontal="left" indent="12"/>
    </xf>
    <xf numFmtId="0" fontId="4" fillId="0" borderId="0" xfId="0" applyFont="1"/>
    <xf numFmtId="0" fontId="9" fillId="0" borderId="0" xfId="0" applyFont="1" applyAlignment="1">
      <alignment horizontal="left" indent="8"/>
    </xf>
    <xf numFmtId="0" fontId="6" fillId="0" borderId="0" xfId="0" applyFont="1"/>
    <xf numFmtId="0" fontId="10" fillId="0" borderId="0" xfId="0" applyFont="1"/>
    <xf numFmtId="164" fontId="0" fillId="0" borderId="0" xfId="2" applyNumberFormat="1" applyFont="1"/>
    <xf numFmtId="0" fontId="11" fillId="0" borderId="0" xfId="0" applyFont="1"/>
    <xf numFmtId="0" fontId="12" fillId="0" borderId="0" xfId="0" applyFont="1"/>
    <xf numFmtId="15" fontId="0" fillId="0" borderId="0" xfId="0" applyNumberFormat="1"/>
    <xf numFmtId="17" fontId="0" fillId="0" borderId="0" xfId="0" applyNumberFormat="1"/>
    <xf numFmtId="166" fontId="0" fillId="0" borderId="0" xfId="0" applyNumberFormat="1"/>
    <xf numFmtId="0" fontId="13" fillId="0" borderId="0" xfId="0" applyFont="1"/>
    <xf numFmtId="44" fontId="13" fillId="0" borderId="0" xfId="2" applyFont="1"/>
    <xf numFmtId="20" fontId="0" fillId="0" borderId="0" xfId="0" applyNumberFormat="1"/>
    <xf numFmtId="44" fontId="1" fillId="0" borderId="0" xfId="0" applyNumberFormat="1" applyFont="1"/>
    <xf numFmtId="10" fontId="0" fillId="0" borderId="0" xfId="3" applyNumberFormat="1" applyFont="1"/>
    <xf numFmtId="0" fontId="15" fillId="0" borderId="0" xfId="0" applyFont="1"/>
    <xf numFmtId="0" fontId="16" fillId="0" borderId="0" xfId="0" applyFont="1"/>
    <xf numFmtId="0" fontId="0" fillId="3" borderId="0" xfId="0" applyFill="1"/>
    <xf numFmtId="44" fontId="0" fillId="0" borderId="0" xfId="0" applyNumberFormat="1"/>
    <xf numFmtId="0" fontId="0" fillId="0" borderId="0" xfId="0" applyAlignment="1">
      <alignment horizontal="center"/>
    </xf>
    <xf numFmtId="44" fontId="0" fillId="0" borderId="0" xfId="2" applyFont="1" applyBorder="1" applyAlignment="1">
      <alignment horizontal="center"/>
    </xf>
    <xf numFmtId="0" fontId="8" fillId="0" borderId="0" xfId="0" applyFont="1" applyAlignment="1">
      <alignment horizontal="center"/>
    </xf>
    <xf numFmtId="165" fontId="0" fillId="0" borderId="0" xfId="0" applyNumberFormat="1"/>
    <xf numFmtId="9" fontId="0" fillId="0" borderId="0" xfId="3" applyFont="1"/>
    <xf numFmtId="165" fontId="0" fillId="0" borderId="0" xfId="3" applyNumberFormat="1" applyFont="1"/>
    <xf numFmtId="0" fontId="0" fillId="4" borderId="0" xfId="0" applyFill="1"/>
    <xf numFmtId="44" fontId="1" fillId="5" borderId="0" xfId="0" applyNumberFormat="1" applyFont="1" applyFill="1"/>
    <xf numFmtId="0" fontId="1" fillId="0" borderId="0" xfId="0" applyFont="1" applyAlignment="1">
      <alignment horizontal="center"/>
    </xf>
    <xf numFmtId="44" fontId="17" fillId="0" borderId="0" xfId="0" applyNumberFormat="1" applyFont="1"/>
    <xf numFmtId="44" fontId="14" fillId="0" borderId="0" xfId="0" applyNumberFormat="1" applyFont="1"/>
    <xf numFmtId="43" fontId="13" fillId="0" borderId="2" xfId="1" applyFont="1" applyBorder="1"/>
    <xf numFmtId="43" fontId="13" fillId="0" borderId="3" xfId="1" applyFont="1" applyBorder="1"/>
    <xf numFmtId="43" fontId="13" fillId="0" borderId="4" xfId="1" applyFont="1" applyBorder="1"/>
    <xf numFmtId="0" fontId="0" fillId="0" borderId="4" xfId="0" applyBorder="1"/>
    <xf numFmtId="43" fontId="13" fillId="0" borderId="5" xfId="1" applyFont="1" applyBorder="1"/>
    <xf numFmtId="43" fontId="13" fillId="0" borderId="7" xfId="1" applyFont="1" applyBorder="1"/>
    <xf numFmtId="43" fontId="13" fillId="0" borderId="8" xfId="1" applyFont="1" applyBorder="1"/>
    <xf numFmtId="0" fontId="1" fillId="2" borderId="9" xfId="0" applyFont="1" applyFill="1" applyBorder="1"/>
    <xf numFmtId="43" fontId="7" fillId="2" borderId="10" xfId="1" applyFont="1" applyFill="1" applyBorder="1"/>
    <xf numFmtId="43" fontId="7" fillId="2" borderId="11" xfId="1" applyFont="1" applyFill="1" applyBorder="1"/>
    <xf numFmtId="43" fontId="7" fillId="2" borderId="12" xfId="1" applyFont="1" applyFill="1" applyBorder="1"/>
    <xf numFmtId="43" fontId="7" fillId="2" borderId="13" xfId="1" applyFont="1" applyFill="1" applyBorder="1"/>
    <xf numFmtId="0" fontId="0" fillId="0" borderId="6" xfId="0" applyBorder="1"/>
    <xf numFmtId="0" fontId="14" fillId="6" borderId="15" xfId="0" applyFont="1" applyFill="1" applyBorder="1"/>
    <xf numFmtId="0" fontId="14" fillId="6" borderId="16" xfId="0" applyFont="1" applyFill="1" applyBorder="1" applyAlignment="1">
      <alignment horizontal="center"/>
    </xf>
    <xf numFmtId="0" fontId="14" fillId="6" borderId="14" xfId="0" applyFont="1" applyFill="1" applyBorder="1" applyAlignment="1">
      <alignment horizontal="center"/>
    </xf>
    <xf numFmtId="0" fontId="0" fillId="0" borderId="17" xfId="0" applyBorder="1"/>
    <xf numFmtId="43" fontId="13" fillId="0" borderId="18" xfId="1" applyFont="1" applyBorder="1"/>
    <xf numFmtId="0" fontId="0" fillId="0" borderId="19" xfId="0" applyBorder="1"/>
    <xf numFmtId="43" fontId="13" fillId="0" borderId="20" xfId="1" applyFont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9" xfId="0" applyFont="1" applyBorder="1"/>
    <xf numFmtId="43" fontId="13" fillId="0" borderId="10" xfId="1" applyFont="1" applyFill="1" applyBorder="1"/>
    <xf numFmtId="43" fontId="13" fillId="0" borderId="11" xfId="1" applyFont="1" applyFill="1" applyBorder="1"/>
    <xf numFmtId="43" fontId="13" fillId="0" borderId="12" xfId="1" applyFont="1" applyFill="1" applyBorder="1"/>
    <xf numFmtId="43" fontId="13" fillId="0" borderId="13" xfId="1" applyFont="1" applyFill="1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0" xfId="2" applyNumberFormat="1" applyFont="1" applyBorder="1" applyAlignment="1">
      <alignment horizontal="center"/>
    </xf>
    <xf numFmtId="15" fontId="0" fillId="0" borderId="0" xfId="0" applyNumberFormat="1" applyAlignment="1">
      <alignment horizontal="center"/>
    </xf>
    <xf numFmtId="15" fontId="8" fillId="0" borderId="0" xfId="0" applyNumberFormat="1" applyFont="1" applyAlignment="1">
      <alignment horizontal="center"/>
    </xf>
    <xf numFmtId="0" fontId="0" fillId="0" borderId="31" xfId="0" applyBorder="1"/>
    <xf numFmtId="0" fontId="0" fillId="0" borderId="32" xfId="0" applyBorder="1"/>
    <xf numFmtId="0" fontId="14" fillId="6" borderId="4" xfId="0" applyFont="1" applyFill="1" applyBorder="1" applyAlignment="1">
      <alignment horizontal="center"/>
    </xf>
    <xf numFmtId="0" fontId="14" fillId="6" borderId="28" xfId="0" applyFont="1" applyFill="1" applyBorder="1" applyAlignment="1">
      <alignment horizontal="center"/>
    </xf>
    <xf numFmtId="0" fontId="0" fillId="0" borderId="26" xfId="0" applyBorder="1"/>
    <xf numFmtId="0" fontId="0" fillId="0" borderId="33" xfId="0" applyBorder="1"/>
    <xf numFmtId="0" fontId="14" fillId="6" borderId="0" xfId="0" applyFont="1" applyFill="1" applyAlignment="1">
      <alignment horizontal="center"/>
    </xf>
    <xf numFmtId="0" fontId="0" fillId="0" borderId="34" xfId="0" applyBorder="1"/>
    <xf numFmtId="0" fontId="14" fillId="6" borderId="35" xfId="0" applyFont="1" applyFill="1" applyBorder="1" applyAlignment="1">
      <alignment horizontal="center"/>
    </xf>
    <xf numFmtId="0" fontId="0" fillId="0" borderId="36" xfId="0" applyBorder="1"/>
    <xf numFmtId="0" fontId="18" fillId="6" borderId="1" xfId="0" applyFont="1" applyFill="1" applyBorder="1" applyAlignment="1">
      <alignment horizontal="center"/>
    </xf>
    <xf numFmtId="0" fontId="18" fillId="6" borderId="38" xfId="0" applyFont="1" applyFill="1" applyBorder="1" applyAlignment="1">
      <alignment horizontal="center"/>
    </xf>
    <xf numFmtId="0" fontId="18" fillId="6" borderId="40" xfId="0" applyFont="1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18" fillId="6" borderId="32" xfId="0" applyFont="1" applyFill="1" applyBorder="1" applyAlignment="1">
      <alignment horizontal="center"/>
    </xf>
    <xf numFmtId="0" fontId="18" fillId="6" borderId="37" xfId="0" applyFont="1" applyFill="1" applyBorder="1" applyAlignment="1">
      <alignment horizontal="center"/>
    </xf>
    <xf numFmtId="0" fontId="18" fillId="6" borderId="39" xfId="0" applyFont="1" applyFill="1" applyBorder="1" applyAlignment="1">
      <alignment horizontal="center"/>
    </xf>
    <xf numFmtId="44" fontId="0" fillId="0" borderId="0" xfId="0" applyNumberFormat="1" applyAlignment="1">
      <alignment horizontal="center"/>
    </xf>
    <xf numFmtId="9" fontId="0" fillId="0" borderId="0" xfId="3" applyFont="1" applyBorder="1" applyAlignment="1"/>
    <xf numFmtId="9" fontId="0" fillId="0" borderId="0" xfId="0" applyNumberFormat="1"/>
    <xf numFmtId="44" fontId="8" fillId="0" borderId="0" xfId="0" applyNumberFormat="1" applyFont="1" applyAlignment="1">
      <alignment horizontal="center"/>
    </xf>
    <xf numFmtId="44" fontId="0" fillId="0" borderId="0" xfId="2" applyFont="1" applyAlignment="1">
      <alignment horizontal="center"/>
    </xf>
    <xf numFmtId="0" fontId="0" fillId="0" borderId="0" xfId="2" applyNumberFormat="1" applyFont="1" applyAlignment="1">
      <alignment horizontal="center"/>
    </xf>
    <xf numFmtId="0" fontId="21" fillId="0" borderId="0" xfId="0" applyFont="1"/>
    <xf numFmtId="0" fontId="1" fillId="0" borderId="0" xfId="0" applyFont="1" applyAlignment="1">
      <alignment horizontal="left"/>
    </xf>
    <xf numFmtId="0" fontId="22" fillId="4" borderId="25" xfId="0" applyFont="1" applyFill="1" applyBorder="1" applyAlignment="1">
      <alignment horizontal="left"/>
    </xf>
    <xf numFmtId="43" fontId="22" fillId="4" borderId="25" xfId="1" applyFont="1" applyFill="1" applyBorder="1"/>
    <xf numFmtId="43" fontId="13" fillId="0" borderId="0" xfId="1" applyFont="1" applyFill="1" applyBorder="1"/>
    <xf numFmtId="43" fontId="7" fillId="2" borderId="0" xfId="1" applyFont="1" applyFill="1" applyBorder="1"/>
    <xf numFmtId="43" fontId="13" fillId="0" borderId="0" xfId="1" applyFont="1" applyBorder="1"/>
    <xf numFmtId="43" fontId="22" fillId="4" borderId="0" xfId="1" applyFont="1" applyFill="1" applyBorder="1"/>
    <xf numFmtId="0" fontId="23" fillId="0" borderId="0" xfId="0" applyFont="1"/>
    <xf numFmtId="43" fontId="22" fillId="4" borderId="41" xfId="1" applyFont="1" applyFill="1" applyBorder="1"/>
    <xf numFmtId="0" fontId="14" fillId="6" borderId="30" xfId="0" applyFont="1" applyFill="1" applyBorder="1" applyAlignment="1">
      <alignment horizontal="center"/>
    </xf>
    <xf numFmtId="0" fontId="0" fillId="0" borderId="31" xfId="0" quotePrefix="1" applyBorder="1"/>
    <xf numFmtId="8" fontId="1" fillId="7" borderId="0" xfId="0" applyNumberFormat="1" applyFont="1" applyFill="1" applyAlignment="1">
      <alignment horizontal="center"/>
    </xf>
    <xf numFmtId="0" fontId="11" fillId="8" borderId="0" xfId="0" applyFont="1" applyFill="1"/>
    <xf numFmtId="9" fontId="13" fillId="0" borderId="0" xfId="3" applyFont="1"/>
    <xf numFmtId="10" fontId="13" fillId="0" borderId="0" xfId="3" applyNumberFormat="1" applyFont="1"/>
    <xf numFmtId="10" fontId="0" fillId="0" borderId="0" xfId="0" applyNumberFormat="1"/>
    <xf numFmtId="10" fontId="13" fillId="0" borderId="0" xfId="0" applyNumberFormat="1" applyFont="1"/>
    <xf numFmtId="0" fontId="18" fillId="6" borderId="42" xfId="0" applyFont="1" applyFill="1" applyBorder="1" applyAlignment="1">
      <alignment horizontal="center"/>
    </xf>
    <xf numFmtId="44" fontId="13" fillId="0" borderId="0" xfId="0" applyNumberFormat="1" applyFont="1"/>
    <xf numFmtId="0" fontId="0" fillId="0" borderId="0" xfId="0" quotePrefix="1" applyAlignment="1">
      <alignment horizontal="center"/>
    </xf>
    <xf numFmtId="164" fontId="0" fillId="0" borderId="0" xfId="0" applyNumberFormat="1"/>
    <xf numFmtId="0" fontId="0" fillId="0" borderId="0" xfId="0" quotePrefix="1"/>
    <xf numFmtId="164" fontId="13" fillId="0" borderId="0" xfId="2" applyNumberFormat="1" applyFont="1"/>
    <xf numFmtId="8" fontId="0" fillId="9" borderId="0" xfId="0" applyNumberFormat="1" applyFill="1" applyAlignment="1">
      <alignment horizontal="center"/>
    </xf>
    <xf numFmtId="0" fontId="0" fillId="4" borderId="43" xfId="0" applyFill="1" applyBorder="1" applyAlignment="1">
      <alignment horizontal="center"/>
    </xf>
    <xf numFmtId="44" fontId="0" fillId="4" borderId="43" xfId="2" applyFont="1" applyFill="1" applyBorder="1" applyAlignment="1">
      <alignment horizontal="center"/>
    </xf>
    <xf numFmtId="10" fontId="0" fillId="4" borderId="43" xfId="3" applyNumberFormat="1" applyFont="1" applyFill="1" applyBorder="1" applyAlignment="1">
      <alignment horizontal="center"/>
    </xf>
    <xf numFmtId="0" fontId="0" fillId="10" borderId="0" xfId="0" applyFill="1"/>
    <xf numFmtId="0" fontId="24" fillId="10" borderId="0" xfId="0" applyFont="1" applyFill="1"/>
    <xf numFmtId="0" fontId="0" fillId="11" borderId="0" xfId="0" applyFill="1"/>
    <xf numFmtId="0" fontId="5" fillId="4" borderId="0" xfId="0" applyFont="1" applyFill="1" applyAlignment="1">
      <alignment horizontal="left" indent="10"/>
    </xf>
    <xf numFmtId="0" fontId="9" fillId="4" borderId="0" xfId="0" applyFont="1" applyFill="1" applyAlignment="1">
      <alignment horizontal="left" indent="8"/>
    </xf>
    <xf numFmtId="0" fontId="19" fillId="4" borderId="0" xfId="0" applyFont="1" applyFill="1" applyAlignment="1">
      <alignment horizontal="center" wrapText="1"/>
    </xf>
    <xf numFmtId="0" fontId="20" fillId="4" borderId="0" xfId="0" applyFont="1" applyFill="1"/>
    <xf numFmtId="44" fontId="19" fillId="4" borderId="0" xfId="2" applyFont="1" applyFill="1" applyAlignment="1"/>
    <xf numFmtId="0" fontId="19" fillId="4" borderId="0" xfId="0" applyFont="1" applyFill="1" applyAlignment="1">
      <alignment horizontal="left"/>
    </xf>
    <xf numFmtId="0" fontId="25" fillId="4" borderId="0" xfId="0" applyFont="1" applyFill="1" applyAlignment="1">
      <alignment horizontal="left"/>
    </xf>
    <xf numFmtId="0" fontId="26" fillId="4" borderId="0" xfId="0" applyFont="1" applyFill="1"/>
    <xf numFmtId="0" fontId="27" fillId="4" borderId="0" xfId="0" applyFont="1" applyFill="1" applyAlignment="1">
      <alignment horizontal="center" wrapText="1"/>
    </xf>
    <xf numFmtId="0" fontId="25" fillId="4" borderId="0" xfId="0" applyFont="1" applyFill="1"/>
    <xf numFmtId="44" fontId="27" fillId="4" borderId="0" xfId="2" applyFont="1" applyFill="1" applyAlignment="1"/>
    <xf numFmtId="0" fontId="3" fillId="4" borderId="0" xfId="0" applyFont="1" applyFill="1" applyAlignment="1">
      <alignment horizontal="left" indent="12"/>
    </xf>
    <xf numFmtId="0" fontId="11" fillId="4" borderId="0" xfId="0" applyFont="1" applyFill="1" applyAlignment="1">
      <alignment horizontal="left" indent="4"/>
    </xf>
    <xf numFmtId="0" fontId="5" fillId="4" borderId="0" xfId="0" applyFont="1" applyFill="1" applyAlignment="1">
      <alignment horizontal="left" indent="6"/>
    </xf>
    <xf numFmtId="0" fontId="0" fillId="4" borderId="0" xfId="0" applyFill="1" applyAlignment="1">
      <alignment horizontal="left"/>
    </xf>
    <xf numFmtId="0" fontId="11" fillId="4" borderId="0" xfId="0" applyFont="1" applyFill="1"/>
  </cellXfs>
  <cellStyles count="4">
    <cellStyle name="Moeda" xfId="2" builtinId="4"/>
    <cellStyle name="Normal" xfId="0" builtinId="0"/>
    <cellStyle name="Porcentagem" xfId="3" builtinId="5"/>
    <cellStyle name="Vírgula" xfId="1" builtinId="3"/>
  </cellStyles>
  <dxfs count="139">
    <dxf>
      <fill>
        <patternFill>
          <bgColor rgb="FFF8CBAD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FF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minor"/>
      </font>
      <numFmt numFmtId="34" formatCode="_-&quot;R$&quot;\ * #,##0.00_-;\-&quot;R$&quot;\ * #,##0.00_-;_-&quot;R$&quot;\ 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FF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numFmt numFmtId="13" formatCode="0%"/>
    </dxf>
    <dxf>
      <numFmt numFmtId="34" formatCode="_-&quot;R$&quot;\ * #,##0.00_-;\-&quot;R$&quot;\ * #,##0.00_-;_-&quot;R$&quot;\ * &quot;-&quot;??_-;_-@_-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</dxf>
    <dxf>
      <font>
        <strike val="0"/>
        <outline val="0"/>
        <shadow val="0"/>
        <u val="none"/>
        <vertAlign val="baseline"/>
        <sz val="11"/>
        <color rgb="FF0000FF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Calibri"/>
        <family val="2"/>
        <scheme val="minor"/>
      </font>
      <numFmt numFmtId="20" formatCode="dd/mmm/yy"/>
      <alignment horizontal="center" vertical="bottom" textRotation="0" wrapText="0" indent="0" justifyLastLine="0" shrinkToFit="0" readingOrder="0"/>
    </dxf>
    <dxf>
      <font>
        <b/>
        <color rgb="FF0000FF"/>
      </font>
      <numFmt numFmtId="20" formatCode="dd/mmm/yy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</dxf>
    <dxf>
      <border diagonalUp="0" diagonalDown="0">
        <left/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 outline="0">
        <top style="thin">
          <color theme="4" tint="0.39994506668294322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 outline="0"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</dxf>
    <dxf>
      <border diagonalUp="0" diagonalDown="0">
        <left/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</dxf>
    <dxf>
      <border diagonalUp="0" diagonalDown="0">
        <left/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/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 style="thin">
          <color theme="1"/>
        </horizontal>
      </border>
    </dxf>
    <dxf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/>
        <top style="thin">
          <color rgb="FF043424"/>
        </top>
        <bottom style="thin">
          <color rgb="FF043424"/>
        </bottom>
        <vertical/>
        <horizontal style="thin">
          <color rgb="FF043424"/>
        </horizontal>
      </border>
    </dxf>
    <dxf>
      <border>
        <top style="thin">
          <color rgb="FF043424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border>
        <bottom style="thin">
          <color rgb="FF04342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</dxf>
    <dxf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FF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Calibri"/>
        <family val="2"/>
        <scheme val="minor"/>
      </font>
      <numFmt numFmtId="20" formatCode="dd/mmm/yy"/>
      <alignment horizontal="center" vertical="bottom" textRotation="0" wrapText="0" indent="0" justifyLastLine="0" shrinkToFit="0" readingOrder="0"/>
    </dxf>
    <dxf>
      <numFmt numFmtId="20" formatCode="dd/mmm/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border>
        <top style="thin">
          <color rgb="FF8EA9DB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FF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Calibri"/>
        <family val="2"/>
        <scheme val="minor"/>
      </font>
      <numFmt numFmtId="20" formatCode="dd/mmm/yy"/>
      <alignment horizontal="center" vertical="bottom" textRotation="0" wrapText="0" indent="0" justifyLastLine="0" shrinkToFit="0" readingOrder="0"/>
    </dxf>
    <dxf>
      <numFmt numFmtId="20" formatCode="dd/mmm/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border>
        <top style="thin">
          <color rgb="FF8EA9DB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FF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FF"/>
        <name val="Calibri"/>
        <family val="2"/>
        <scheme val="minor"/>
      </font>
      <numFmt numFmtId="20" formatCode="dd/mmm/yy"/>
      <alignment horizontal="center" vertical="bottom" textRotation="0" wrapText="0" indent="0" justifyLastLine="0" shrinkToFit="0" readingOrder="0"/>
    </dxf>
    <dxf>
      <numFmt numFmtId="20" formatCode="dd/mmm/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>
        <top style="thin">
          <color rgb="FF043424"/>
        </top>
      </border>
    </dxf>
    <dxf>
      <border diagonalUp="0" diagonalDown="0">
        <left style="thin">
          <color rgb="FF043424"/>
        </left>
        <right style="thin">
          <color rgb="FF043424"/>
        </right>
        <top style="thin">
          <color rgb="FF043424"/>
        </top>
        <bottom style="thin">
          <color rgb="FF04342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043424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8" tint="-0.24994659260841701"/>
        </patternFill>
      </fill>
      <border diagonalUp="0" diagonalDown="0">
        <left/>
        <right/>
        <top/>
        <bottom/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8" tint="-0.24994659260841701"/>
        </patternFill>
      </fill>
      <border diagonalUp="0" diagonalDown="0">
        <left/>
        <right/>
        <top/>
        <bottom/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8" tint="-0.24994659260841701"/>
        </patternFill>
      </fill>
      <border diagonalUp="0" diagonalDown="0">
        <left/>
        <right/>
        <top/>
        <bottom/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8" tint="-0.24994659260841701"/>
        </patternFill>
      </fill>
      <border diagonalUp="0" diagonalDown="0">
        <left/>
        <right/>
        <top/>
        <bottom/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8" tint="-0.24994659260841701"/>
        </patternFill>
      </fill>
      <border diagonalUp="0" diagonalDown="0">
        <left/>
        <right/>
        <top/>
        <bottom/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8" tint="-0.24994659260841701"/>
        </patternFill>
      </fill>
      <border diagonalUp="0" diagonalDown="0">
        <left/>
        <right/>
        <top/>
        <bottom/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8" tint="-0.24994659260841701"/>
        </patternFill>
      </fill>
      <border diagonalUp="0" diagonalDown="0">
        <left/>
        <right/>
        <top/>
        <bottom/>
        <vertical/>
        <horizontal/>
      </border>
    </dxf>
    <dxf>
      <font>
        <b/>
        <color theme="1"/>
      </font>
      <border>
        <bottom style="thin">
          <color theme="8"/>
        </bottom>
        <vertical/>
        <horizontal/>
      </border>
    </dxf>
    <dxf>
      <font>
        <color theme="1"/>
      </font>
      <fill>
        <patternFill>
          <bgColor theme="8" tint="-0.24994659260841701"/>
        </patternFill>
      </fill>
      <border diagonalUp="0" diagonalDown="0">
        <left/>
        <right/>
        <top/>
        <bottom/>
        <vertical/>
        <horizontal/>
      </border>
    </dxf>
    <dxf>
      <font>
        <sz val="11"/>
        <color theme="0" tint="-0.24994659260841701"/>
        <name val="Calibri"/>
        <family val="2"/>
        <scheme val="minor"/>
      </font>
      <fill>
        <patternFill>
          <bgColor rgb="FF262B2F"/>
        </patternFill>
      </fill>
    </dxf>
  </dxfs>
  <tableStyles count="9" defaultTableStyle="TableStyleMedium2" defaultPivotStyle="PivotStyleLight16">
    <tableStyle name="Estilo de Segmentação de Dados 1" pivot="0" table="0" count="3" xr9:uid="{C540E04F-B517-4741-A987-D1967D6D5682}">
      <tableStyleElement type="wholeTable" dxfId="138"/>
    </tableStyle>
    <tableStyle name="SlicerStyleLight5 2" pivot="0" table="0" count="10" xr9:uid="{511A5543-6DE4-4CA3-BDE8-5309F307460E}">
      <tableStyleElement type="wholeTable" dxfId="137"/>
      <tableStyleElement type="headerRow" dxfId="136"/>
    </tableStyle>
    <tableStyle name="SlicerStyleLight5 2 2" pivot="0" table="0" count="10" xr9:uid="{89507BFE-7592-4A02-A962-66983CDD92B0}">
      <tableStyleElement type="wholeTable" dxfId="135"/>
      <tableStyleElement type="headerRow" dxfId="134"/>
    </tableStyle>
    <tableStyle name="SlicerStyleLight5 2 3" pivot="0" table="0" count="10" xr9:uid="{9A0C3AB6-B77F-4CBA-ACD5-9BCD75A4EBCD}">
      <tableStyleElement type="wholeTable" dxfId="133"/>
      <tableStyleElement type="headerRow" dxfId="132"/>
    </tableStyle>
    <tableStyle name="SlicerStyleLight5 2 4" pivot="0" table="0" count="10" xr9:uid="{26003A9A-AD77-4DDA-988F-6A66C0DFA9D7}">
      <tableStyleElement type="wholeTable" dxfId="131"/>
      <tableStyleElement type="headerRow" dxfId="130"/>
    </tableStyle>
    <tableStyle name="SlicerStyleLight5 2 5" pivot="0" table="0" count="10" xr9:uid="{D085030D-664C-4027-B841-9F9C51DC2BC3}">
      <tableStyleElement type="wholeTable" dxfId="129"/>
      <tableStyleElement type="headerRow" dxfId="128"/>
    </tableStyle>
    <tableStyle name="SlicerStyleLight5 2 6" pivot="0" table="0" count="10" xr9:uid="{CBD5ABA9-5C34-4E7A-89A6-CCDBFA6B6562}">
      <tableStyleElement type="wholeTable" dxfId="127"/>
      <tableStyleElement type="headerRow" dxfId="126"/>
    </tableStyle>
    <tableStyle name="SlicerStyleLight5 2 7" pivot="0" table="0" count="10" xr9:uid="{3F0F0C45-50DD-4ACE-A0A7-FA7CA7ACA3EF}">
      <tableStyleElement type="wholeTable" dxfId="125"/>
      <tableStyleElement type="headerRow" dxfId="124"/>
    </tableStyle>
    <tableStyle name="SlicerStyleLight5 2 8" pivot="0" table="0" count="10" xr9:uid="{58C28FF0-8E72-45F9-92C7-5034B2DF68FA}">
      <tableStyleElement type="wholeTable" dxfId="123"/>
      <tableStyleElement type="headerRow" dxfId="122"/>
    </tableStyle>
  </tableStyles>
  <colors>
    <mruColors>
      <color rgb="FF064E36"/>
      <color rgb="FFFFFFFF"/>
      <color rgb="FF212C2E"/>
      <color rgb="FF467270"/>
      <color rgb="FF075D40"/>
      <color rgb="FFB3F35F"/>
      <color rgb="FF2A4443"/>
      <color rgb="FF043223"/>
      <color rgb="FF1B2727"/>
      <color rgb="FF2E4242"/>
    </mruColors>
  </colors>
  <extLst>
    <ext xmlns:x14="http://schemas.microsoft.com/office/spreadsheetml/2009/9/main" uri="{46F421CA-312F-682f-3DD2-61675219B42D}">
      <x14:dxfs count="66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8" tint="0.79998168889431442"/>
              <bgColor theme="8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b/>
            <i val="0"/>
            <color theme="0"/>
          </font>
          <fill>
            <patternFill patternType="solid">
              <fgColor theme="8" tint="0.59999389629810485"/>
              <bgColor theme="8" tint="0.3999450666829432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8" tint="0.79998168889431442"/>
              <bgColor theme="8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b/>
            <i val="0"/>
            <color theme="0"/>
          </font>
          <fill>
            <patternFill patternType="solid">
              <fgColor theme="8" tint="0.59999389629810485"/>
              <bgColor theme="8" tint="0.3999450666829432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8" tint="0.79998168889431442"/>
              <bgColor theme="8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b/>
            <i val="0"/>
            <color theme="0"/>
          </font>
          <fill>
            <patternFill patternType="solid">
              <fgColor theme="8" tint="0.59999389629810485"/>
              <bgColor theme="8" tint="0.3999450666829432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8" tint="0.79998168889431442"/>
              <bgColor theme="8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b/>
            <i val="0"/>
            <color theme="0"/>
          </font>
          <fill>
            <patternFill patternType="solid">
              <fgColor theme="8" tint="0.59999389629810485"/>
              <bgColor theme="8" tint="0.3999450666829432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8" tint="0.79998168889431442"/>
              <bgColor theme="8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b/>
            <i val="0"/>
            <color theme="0"/>
          </font>
          <fill>
            <patternFill patternType="solid">
              <fgColor theme="8" tint="0.59999389629810485"/>
              <bgColor theme="8" tint="0.3999450666829432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8" tint="0.79998168889431442"/>
              <bgColor theme="8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b/>
            <i val="0"/>
            <color theme="0"/>
          </font>
          <fill>
            <patternFill patternType="solid">
              <fgColor theme="8" tint="0.59999389629810485"/>
              <bgColor theme="8" tint="0.3999450666829432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8" tint="0.79998168889431442"/>
              <bgColor theme="8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b/>
            <i val="0"/>
            <color theme="0"/>
          </font>
          <fill>
            <patternFill patternType="solid">
              <fgColor theme="8" tint="0.59999389629810485"/>
              <bgColor theme="8" tint="0.3999450666829432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8" tint="0.79998168889431442"/>
              <bgColor theme="8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b/>
            <i val="0"/>
            <color theme="0"/>
          </font>
          <fill>
            <patternFill patternType="solid">
              <fgColor theme="8" tint="0.59999389629810485"/>
              <bgColor theme="8" tint="0.39994506668294322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theme="0"/>
          </font>
          <fill>
            <patternFill>
              <bgColor theme="4" tint="-0.24994659260841701"/>
            </patternFill>
          </fill>
        </dxf>
        <dxf>
          <font>
            <color theme="0"/>
          </font>
          <fill>
            <patternFill>
              <bgColor theme="4" tint="-0.24994659260841701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ção de Dados 1">
          <x14:slicerStyleElements>
            <x14:slicerStyleElement type="selectedItemWithData" dxfId="65"/>
            <x14:slicerStyleElement type="hoveredSelectedItemWithData" dxfId="64"/>
          </x14:slicerStyleElements>
        </x14:slicerStyle>
        <x14:slicerStyle name="SlicerStyleLight5 2">
          <x14:slicerStyleElements>
            <x14:slicerStyleElement type="unselectedItemWithData" dxfId="63"/>
            <x14:slicerStyleElement type="unselectedItemWithNoData" dxfId="62"/>
            <x14:slicerStyleElement type="selectedItemWithData" dxfId="61"/>
            <x14:slicerStyleElement type="selectedItemWithNoData" dxfId="60"/>
            <x14:slicerStyleElement type="hoveredUnselectedItemWithData" dxfId="59"/>
            <x14:slicerStyleElement type="hoveredSelectedItemWithData" dxfId="58"/>
            <x14:slicerStyleElement type="hoveredUnselectedItemWithNoData" dxfId="57"/>
            <x14:slicerStyleElement type="hoveredSelectedItemWithNoData" dxfId="56"/>
          </x14:slicerStyleElements>
        </x14:slicerStyle>
        <x14:slicerStyle name="SlicerStyleLight5 2 2">
          <x14:slicerStyleElements>
            <x14:slicerStyleElement type="unselectedItemWithData" dxfId="55"/>
            <x14:slicerStyleElement type="unselectedItemWithNoData" dxfId="54"/>
            <x14:slicerStyleElement type="selectedItemWithData" dxfId="53"/>
            <x14:slicerStyleElement type="selectedItemWithNoData" dxfId="52"/>
            <x14:slicerStyleElement type="hoveredUnselectedItemWithData" dxfId="51"/>
            <x14:slicerStyleElement type="hoveredSelectedItemWithData" dxfId="50"/>
            <x14:slicerStyleElement type="hoveredUnselectedItemWithNoData" dxfId="49"/>
            <x14:slicerStyleElement type="hoveredSelectedItemWithNoData" dxfId="48"/>
          </x14:slicerStyleElements>
        </x14:slicerStyle>
        <x14:slicerStyle name="SlicerStyleLight5 2 3">
          <x14:slicerStyleElements>
            <x14:slicerStyleElement type="unselectedItemWithData" dxfId="47"/>
            <x14:slicerStyleElement type="unselectedItemWithNoData" dxfId="46"/>
            <x14:slicerStyleElement type="selectedItemWithData" dxfId="45"/>
            <x14:slicerStyleElement type="selectedItemWithNoData" dxfId="44"/>
            <x14:slicerStyleElement type="hoveredUnselectedItemWithData" dxfId="43"/>
            <x14:slicerStyleElement type="hoveredSelectedItemWithData" dxfId="42"/>
            <x14:slicerStyleElement type="hoveredUnselectedItemWithNoData" dxfId="41"/>
            <x14:slicerStyleElement type="hoveredSelectedItemWithNoData" dxfId="40"/>
          </x14:slicerStyleElements>
        </x14:slicerStyle>
        <x14:slicerStyle name="SlicerStyleLight5 2 4">
          <x14:slicerStyleElements>
            <x14:slicerStyleElement type="unselectedItemWithData" dxfId="39"/>
            <x14:slicerStyleElement type="unselectedItemWithNoData" dxfId="38"/>
            <x14:slicerStyleElement type="selectedItemWithData" dxfId="37"/>
            <x14:slicerStyleElement type="selectedItemWithNoData" dxfId="36"/>
            <x14:slicerStyleElement type="hoveredUnselectedItemWithData" dxfId="35"/>
            <x14:slicerStyleElement type="hoveredSelectedItemWithData" dxfId="34"/>
            <x14:slicerStyleElement type="hoveredUnselectedItemWithNoData" dxfId="33"/>
            <x14:slicerStyleElement type="hoveredSelectedItemWithNoData" dxfId="32"/>
          </x14:slicerStyleElements>
        </x14:slicerStyle>
        <x14:slicerStyle name="SlicerStyleLight5 2 5">
          <x14:slicerStyleElements>
            <x14:slicerStyleElement type="unselectedItemWithData" dxfId="31"/>
            <x14:slicerStyleElement type="unselectedItemWithNoData" dxfId="30"/>
            <x14:slicerStyleElement type="selectedItemWithData" dxfId="29"/>
            <x14:slicerStyleElement type="selectedItemWithNoData" dxfId="28"/>
            <x14:slicerStyleElement type="hoveredUnselectedItemWithData" dxfId="27"/>
            <x14:slicerStyleElement type="hoveredSelectedItemWithData" dxfId="26"/>
            <x14:slicerStyleElement type="hoveredUnselectedItemWithNoData" dxfId="25"/>
            <x14:slicerStyleElement type="hoveredSelectedItemWithNoData" dxfId="24"/>
          </x14:slicerStyleElements>
        </x14:slicerStyle>
        <x14:slicerStyle name="SlicerStyleLight5 2 6">
          <x14:slicerStyleElements>
            <x14:slicerStyleElement type="unselectedItemWithData" dxfId="23"/>
            <x14:slicerStyleElement type="unselectedItemWithNoData" dxfId="22"/>
            <x14:slicerStyleElement type="selectedItemWithData" dxfId="21"/>
            <x14:slicerStyleElement type="selectedItemWithNoData" dxfId="20"/>
            <x14:slicerStyleElement type="hoveredUnselectedItemWithData" dxfId="19"/>
            <x14:slicerStyleElement type="hoveredSelectedItemWithData" dxfId="18"/>
            <x14:slicerStyleElement type="hoveredUnselectedItemWithNoData" dxfId="17"/>
            <x14:slicerStyleElement type="hoveredSelectedItemWithNoData" dxfId="16"/>
          </x14:slicerStyleElements>
        </x14:slicerStyle>
        <x14:slicerStyle name="SlicerStyleLight5 2 7">
          <x14:slicerStyleElements>
            <x14:slicerStyleElement type="unselectedItemWithData" dxfId="15"/>
            <x14:slicerStyleElement type="unselectedItemWithNoData" dxfId="14"/>
            <x14:slicerStyleElement type="selectedItemWithData" dxfId="13"/>
            <x14:slicerStyleElement type="selectedItemWithNoData" dxfId="12"/>
            <x14:slicerStyleElement type="hoveredUnselectedItemWithData" dxfId="11"/>
            <x14:slicerStyleElement type="hoveredSelectedItemWithData" dxfId="10"/>
            <x14:slicerStyleElement type="hoveredUnselectedItemWithNoData" dxfId="9"/>
            <x14:slicerStyleElement type="hoveredSelectedItemWithNoData" dxfId="8"/>
          </x14:slicerStyleElements>
        </x14:slicerStyle>
        <x14:slicerStyle name="SlicerStyleLight5 2 8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64E36"/>
            </a:solidFill>
            <a:ln>
              <a:noFill/>
            </a:ln>
            <a:effectLst/>
          </c:spPr>
          <c:invertIfNegative val="0"/>
          <c:dLbls>
            <c:numFmt formatCode="_(&quot;R$&quot;* #,##0_);_(&quot;R$&quot;* \(#,##0\);_(&quot;R$&quot;* &quot;-&quot;_);_(@_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rgbClr val="212C2E"/>
                    </a:solidFill>
                    <a:latin typeface="Montserrat" panose="00000500000000000000" pitchFamily="2" charset="0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Auxiliar!$Q$2:$Q$13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Auxiliar!$T$2:$T$13</c:f>
              <c:numCache>
                <c:formatCode>_-"R$"\ * #,##0_-;\-"R$"\ * #,##0_-;_-"R$"\ * "-"??_-;_-@_-</c:formatCode>
                <c:ptCount val="12"/>
                <c:pt idx="0">
                  <c:v>7000</c:v>
                </c:pt>
                <c:pt idx="1">
                  <c:v>7000</c:v>
                </c:pt>
                <c:pt idx="2">
                  <c:v>7000</c:v>
                </c:pt>
                <c:pt idx="3">
                  <c:v>7000</c:v>
                </c:pt>
                <c:pt idx="4">
                  <c:v>7000</c:v>
                </c:pt>
                <c:pt idx="5">
                  <c:v>7000</c:v>
                </c:pt>
                <c:pt idx="6">
                  <c:v>7000</c:v>
                </c:pt>
                <c:pt idx="7">
                  <c:v>7000</c:v>
                </c:pt>
                <c:pt idx="8">
                  <c:v>7000</c:v>
                </c:pt>
                <c:pt idx="9">
                  <c:v>7000</c:v>
                </c:pt>
                <c:pt idx="10">
                  <c:v>7200</c:v>
                </c:pt>
                <c:pt idx="11">
                  <c:v>7200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14-4AC9-8B2A-0B2F39D67A8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38044320"/>
        <c:axId val="1438045280"/>
      </c:barChart>
      <c:catAx>
        <c:axId val="1438044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212C2E"/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endParaRPr lang="pt-BR"/>
          </a:p>
        </c:txPr>
        <c:crossAx val="1438045280"/>
        <c:crosses val="autoZero"/>
        <c:auto val="1"/>
        <c:lblAlgn val="ctr"/>
        <c:lblOffset val="100"/>
        <c:noMultiLvlLbl val="1"/>
      </c:catAx>
      <c:valAx>
        <c:axId val="1438045280"/>
        <c:scaling>
          <c:orientation val="minMax"/>
        </c:scaling>
        <c:delete val="1"/>
        <c:axPos val="l"/>
        <c:numFmt formatCode="_-&quot;R$&quot;\ * #,##0_-;\-&quot;R$&quot;\ * #,##0_-;_-&quot;R$&quot;\ * &quot;-&quot;??_-;_-@_-" sourceLinked="1"/>
        <c:majorTickMark val="none"/>
        <c:minorTickMark val="none"/>
        <c:tickLblPos val="nextTo"/>
        <c:crossAx val="143804432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rgbClr val="DAA40C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316943629742986"/>
          <c:y val="3.6503731667000994E-2"/>
          <c:w val="0.83986865621082163"/>
          <c:h val="0.77848275086351126"/>
        </c:manualLayout>
      </c:layout>
      <c:lineChart>
        <c:grouping val="standar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3987968"/>
        <c:axId val="913986720"/>
      </c:lineChart>
      <c:catAx>
        <c:axId val="913987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b" anchorCtr="1"/>
          <a:lstStyle/>
          <a:p>
            <a:pPr>
              <a:defRPr sz="900" b="0" i="0" u="none" strike="noStrike" kern="120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13986720"/>
        <c:crossesAt val="-3000"/>
        <c:auto val="1"/>
        <c:lblAlgn val="ctr"/>
        <c:lblOffset val="100"/>
        <c:noMultiLvlLbl val="0"/>
      </c:catAx>
      <c:valAx>
        <c:axId val="913986720"/>
        <c:scaling>
          <c:orientation val="minMax"/>
        </c:scaling>
        <c:delete val="0"/>
        <c:axPos val="l"/>
        <c:numFmt formatCode="&quot;R$&quot;\ 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5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13987968"/>
        <c:crosses val="autoZero"/>
        <c:crossBetween val="between"/>
        <c:majorUnit val="20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ivotFmts>
      <c:pivotFmt>
        <c:idx val="0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5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FFC000"/>
          </a:solidFill>
          <a:ln>
            <a:noFill/>
          </a:ln>
          <a:effectLst/>
        </c:spPr>
        <c:marker>
          <c:symbol val="none"/>
        </c:marker>
        <c:dLbl>
          <c:idx val="0"/>
          <c:numFmt formatCode="&quot;R$&quot;\ 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accent5">
                      <a:lumMod val="75000"/>
                    </a:schemeClr>
                  </a:solidFill>
                  <a:latin typeface="Montserrat" panose="00000500000000000000" pitchFamily="2" charset="0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2.162390750835087E-2"/>
          <c:y val="9.1164648675700469E-2"/>
          <c:w val="0.89604577247845341"/>
          <c:h val="0.7537664572527226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3F35F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B3F3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57-4BB8-B717-365D581904C1}"/>
              </c:ext>
            </c:extLst>
          </c:dPt>
          <c:dPt>
            <c:idx val="1"/>
            <c:invertIfNegative val="0"/>
            <c:bubble3D val="0"/>
            <c:spPr>
              <a:solidFill>
                <a:srgbClr val="B3F3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657-4BB8-B717-365D581904C1}"/>
              </c:ext>
            </c:extLst>
          </c:dPt>
          <c:dPt>
            <c:idx val="2"/>
            <c:invertIfNegative val="0"/>
            <c:bubble3D val="0"/>
            <c:spPr>
              <a:solidFill>
                <a:srgbClr val="B3F3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657-4BB8-B717-365D581904C1}"/>
              </c:ext>
            </c:extLst>
          </c:dPt>
          <c:dPt>
            <c:idx val="3"/>
            <c:invertIfNegative val="0"/>
            <c:bubble3D val="0"/>
            <c:spPr>
              <a:solidFill>
                <a:srgbClr val="B3F3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1F-4C3F-A1C9-298B8C4F41A3}"/>
              </c:ext>
            </c:extLst>
          </c:dPt>
          <c:dPt>
            <c:idx val="4"/>
            <c:invertIfNegative val="0"/>
            <c:bubble3D val="0"/>
            <c:spPr>
              <a:solidFill>
                <a:srgbClr val="B3F35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361F-4C3F-A1C9-298B8C4F41A3}"/>
              </c:ext>
            </c:extLst>
          </c:dPt>
          <c:dLbls>
            <c:numFmt formatCode="&quot;R$&quot;\ 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Montserrat" panose="00000500000000000000" pitchFamily="2" charset="0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Auxiliar!$H$1:$H$5</c:f>
              <c:strCache>
                <c:ptCount val="5"/>
                <c:pt idx="0">
                  <c:v>Salário</c:v>
                </c:pt>
                <c:pt idx="1">
                  <c:v>Férias</c:v>
                </c:pt>
                <c:pt idx="2">
                  <c:v>13º Salário</c:v>
                </c:pt>
                <c:pt idx="3">
                  <c:v>Bônus</c:v>
                </c:pt>
                <c:pt idx="4">
                  <c:v>Outras receitas</c:v>
                </c:pt>
              </c:strCache>
            </c:strRef>
          </c:cat>
          <c:val>
            <c:numRef>
              <c:f>Auxiliar!$I$1:$I$5</c:f>
              <c:numCache>
                <c:formatCode>_-"R$"\ * #,##0_-;\-"R$"\ * #,##0_-;_-"R$"\ * "-"??_-;_-@_-</c:formatCode>
                <c:ptCount val="5"/>
                <c:pt idx="0">
                  <c:v>84400</c:v>
                </c:pt>
                <c:pt idx="1">
                  <c:v>1400</c:v>
                </c:pt>
                <c:pt idx="2">
                  <c:v>2000</c:v>
                </c:pt>
                <c:pt idx="3">
                  <c:v>8950</c:v>
                </c:pt>
                <c:pt idx="4">
                  <c:v>3615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57-4BB8-B717-365D581904C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0"/>
        <c:axId val="1357446528"/>
        <c:axId val="1357444128"/>
      </c:barChart>
      <c:catAx>
        <c:axId val="135744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95000"/>
                  </a:schemeClr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endParaRPr lang="pt-BR"/>
          </a:p>
        </c:txPr>
        <c:crossAx val="1357444128"/>
        <c:crosses val="autoZero"/>
        <c:auto val="1"/>
        <c:lblAlgn val="ctr"/>
        <c:lblOffset val="100"/>
        <c:noMultiLvlLbl val="0"/>
      </c:catAx>
      <c:valAx>
        <c:axId val="1357444128"/>
        <c:scaling>
          <c:orientation val="minMax"/>
        </c:scaling>
        <c:delete val="1"/>
        <c:axPos val="l"/>
        <c:numFmt formatCode="_-&quot;R$&quot;\ * #,##0_-;\-&quot;R$&quot;\ * #,##0_-;_-&quot;R$&quot;\ * &quot;-&quot;??_-;_-@_-" sourceLinked="1"/>
        <c:majorTickMark val="out"/>
        <c:minorTickMark val="none"/>
        <c:tickLblPos val="nextTo"/>
        <c:crossAx val="135744652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Montserrat" panose="00000500000000000000" pitchFamily="2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5">
                      <a:lumMod val="75000"/>
                    </a:schemeClr>
                  </a:solidFill>
                  <a:latin typeface="Montserrat" panose="00000500000000000000" pitchFamily="2" charset="0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5">
                      <a:lumMod val="75000"/>
                    </a:schemeClr>
                  </a:solidFill>
                  <a:latin typeface="Montserrat" panose="00000500000000000000" pitchFamily="2" charset="0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5">
                      <a:lumMod val="75000"/>
                    </a:schemeClr>
                  </a:solidFill>
                  <a:latin typeface="Montserrat" panose="00000500000000000000" pitchFamily="2" charset="0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5">
                      <a:lumMod val="75000"/>
                    </a:schemeClr>
                  </a:solidFill>
                  <a:latin typeface="Montserrat" panose="00000500000000000000" pitchFamily="2" charset="0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rgbClr val="DAA40C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5">
                      <a:lumMod val="75000"/>
                    </a:schemeClr>
                  </a:solidFill>
                  <a:latin typeface="Montserrat" panose="00000500000000000000" pitchFamily="2" charset="0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5">
                      <a:lumMod val="75000"/>
                    </a:schemeClr>
                  </a:solidFill>
                  <a:latin typeface="Montserrat" panose="00000500000000000000" pitchFamily="2" charset="0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5627979381221258"/>
          <c:y val="0.14805882850950192"/>
          <c:w val="0.84372020618778742"/>
          <c:h val="0.85194117149049808"/>
        </c:manualLayout>
      </c:layout>
      <c:barChart>
        <c:barDir val="bar"/>
        <c:grouping val="stacked"/>
        <c:varyColors val="0"/>
        <c:ser>
          <c:idx val="0"/>
          <c:order val="0"/>
          <c:tx>
            <c:v>Positivos</c:v>
          </c:tx>
          <c:spPr>
            <a:solidFill>
              <a:srgbClr val="B3F35F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Auxiliar!$AH$2:$AH$5</c:f>
              <c:strCache>
                <c:ptCount val="4"/>
                <c:pt idx="0">
                  <c:v>Banco do Brasil</c:v>
                </c:pt>
                <c:pt idx="1">
                  <c:v>Itaú</c:v>
                </c:pt>
                <c:pt idx="2">
                  <c:v>Nubank</c:v>
                </c:pt>
                <c:pt idx="3">
                  <c:v>Dinheiro</c:v>
                </c:pt>
              </c:strCache>
            </c:strRef>
          </c:cat>
          <c:val>
            <c:numRef>
              <c:f>Auxiliar!$AM$2:$AM$5</c:f>
              <c:numCache>
                <c:formatCode>_-"R$"\ * #,##0_-;\-"R$"\ * #,##0_-;_-"R$"\ * "-"??_-;_-@_-</c:formatCode>
                <c:ptCount val="4"/>
                <c:pt idx="0">
                  <c:v>37325</c:v>
                </c:pt>
                <c:pt idx="1">
                  <c:v>14010</c:v>
                </c:pt>
                <c:pt idx="2">
                  <c:v>#N/A</c:v>
                </c:pt>
                <c:pt idx="3">
                  <c:v>3615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B-4AAB-A6A4-165EB6ED206B}"/>
            </c:ext>
          </c:extLst>
        </c:ser>
        <c:ser>
          <c:idx val="1"/>
          <c:order val="1"/>
          <c:tx>
            <c:v>Negativos</c:v>
          </c:tx>
          <c:spPr>
            <a:solidFill>
              <a:srgbClr val="EE0000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Auxiliar!$AN$2:$AN$5</c:f>
              <c:numCache>
                <c:formatCode>_-"R$"\ * #,##0_-;\-"R$"\ * #,##0_-;_-"R$"\ * "-"??_-;_-@_-</c:formatCode>
                <c:ptCount val="4"/>
                <c:pt idx="0">
                  <c:v>#N/A</c:v>
                </c:pt>
                <c:pt idx="1">
                  <c:v>#N/A</c:v>
                </c:pt>
                <c:pt idx="2">
                  <c:v>12167</c:v>
                </c:pt>
                <c:pt idx="3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04-4FF4-BBC3-F50C7DC11923}"/>
            </c:ext>
          </c:extLst>
        </c:ser>
        <c:ser>
          <c:idx val="2"/>
          <c:order val="2"/>
          <c:tx>
            <c:strRef>
              <c:f>Auxiliar!$AO$1</c:f>
              <c:strCache>
                <c:ptCount val="1"/>
                <c:pt idx="0">
                  <c:v>Rótulo oculto do gráfico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Montserrat" panose="00000500000000000000" pitchFamily="2" charset="0"/>
                    <a:ea typeface="+mn-ea"/>
                    <a:cs typeface="+mn-cs"/>
                  </a:defRPr>
                </a:pPr>
                <a:endParaRPr lang="pt-BR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Auxiliar!$AO$2:$AO$5</c:f>
              <c:numCache>
                <c:formatCode>_-"R$"\ * #,##0_-;\-"R$"\ * #,##0_-;_-"R$"\ * "-"??_-;_-@_-</c:formatCode>
                <c:ptCount val="4"/>
                <c:pt idx="0">
                  <c:v>37325</c:v>
                </c:pt>
                <c:pt idx="1">
                  <c:v>14010</c:v>
                </c:pt>
                <c:pt idx="2">
                  <c:v>12167</c:v>
                </c:pt>
                <c:pt idx="3">
                  <c:v>3615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04-4FF4-BBC3-F50C7DC1192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1717095088"/>
        <c:axId val="1717093168"/>
      </c:barChart>
      <c:valAx>
        <c:axId val="1717093168"/>
        <c:scaling>
          <c:orientation val="minMax"/>
        </c:scaling>
        <c:delete val="1"/>
        <c:axPos val="b"/>
        <c:numFmt formatCode="_(&quot;R$&quot;* #,##0_);_(&quot;R$&quot;* \(#,##0\);_(&quot;R$&quot;* &quot;-&quot;_);_(@_)" sourceLinked="0"/>
        <c:majorTickMark val="out"/>
        <c:minorTickMark val="none"/>
        <c:tickLblPos val="nextTo"/>
        <c:crossAx val="1717095088"/>
        <c:crossesAt val="1"/>
        <c:crossBetween val="between"/>
        <c:majorUnit val="2500"/>
      </c:valAx>
      <c:catAx>
        <c:axId val="1717095088"/>
        <c:scaling>
          <c:orientation val="minMax"/>
        </c:scaling>
        <c:delete val="0"/>
        <c:axPos val="l"/>
        <c:numFmt formatCode="#,##0.00" sourceLinked="0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95000"/>
                  </a:schemeClr>
                </a:solidFill>
                <a:latin typeface="Montserrat" panose="00000500000000000000" pitchFamily="2" charset="0"/>
                <a:ea typeface="+mn-ea"/>
                <a:cs typeface="+mn-cs"/>
              </a:defRPr>
            </a:pPr>
            <a:endParaRPr lang="pt-BR"/>
          </a:p>
        </c:txPr>
        <c:crossAx val="1717093168"/>
        <c:crossesAt val="0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bg1">
              <a:lumMod val="95000"/>
            </a:schemeClr>
          </a:solidFill>
          <a:latin typeface="Montserrat" panose="00000500000000000000" pitchFamily="2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83026949022801"/>
          <c:y val="9.9284584211601246E-2"/>
          <c:w val="0.77165952210490363"/>
          <c:h val="0.8324572641429227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B3F35F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Auxiliar!$K$36:$K$43</c:f>
              <c:strCache>
                <c:ptCount val="8"/>
                <c:pt idx="0">
                  <c:v>Moradia</c:v>
                </c:pt>
                <c:pt idx="1">
                  <c:v>Alimentação</c:v>
                </c:pt>
                <c:pt idx="2">
                  <c:v>Saúde</c:v>
                </c:pt>
                <c:pt idx="3">
                  <c:v>Pessoais</c:v>
                </c:pt>
                <c:pt idx="4">
                  <c:v>Pet</c:v>
                </c:pt>
                <c:pt idx="5">
                  <c:v>Educação</c:v>
                </c:pt>
                <c:pt idx="6">
                  <c:v>Transporte</c:v>
                </c:pt>
                <c:pt idx="7">
                  <c:v>Lazer</c:v>
                </c:pt>
              </c:strCache>
            </c:strRef>
          </c:cat>
          <c:val>
            <c:numRef>
              <c:f>Auxiliar!$L$36:$L$43</c:f>
              <c:numCache>
                <c:formatCode>_("R$"* #,##0.00_);_("R$"* \(#,##0.00\);_("R$"* "-"??_);_(@_)</c:formatCode>
                <c:ptCount val="8"/>
                <c:pt idx="0">
                  <c:v>26130</c:v>
                </c:pt>
                <c:pt idx="1">
                  <c:v>5530</c:v>
                </c:pt>
                <c:pt idx="2">
                  <c:v>4300</c:v>
                </c:pt>
                <c:pt idx="3">
                  <c:v>2087</c:v>
                </c:pt>
                <c:pt idx="4">
                  <c:v>1960</c:v>
                </c:pt>
                <c:pt idx="5">
                  <c:v>1345</c:v>
                </c:pt>
                <c:pt idx="6">
                  <c:v>1270</c:v>
                </c:pt>
                <c:pt idx="7">
                  <c:v>1115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61-4578-BC19-49B6579E696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axId val="1356085376"/>
        <c:axId val="1695264639"/>
      </c:barChart>
      <c:catAx>
        <c:axId val="1356085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sz="900" b="0" i="0" u="none" strike="noStrike" kern="1200" baseline="0">
                <a:solidFill>
                  <a:schemeClr val="bg1">
                    <a:lumMod val="9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695264639"/>
        <c:crosses val="autoZero"/>
        <c:auto val="1"/>
        <c:lblAlgn val="ctr"/>
        <c:lblOffset val="100"/>
        <c:noMultiLvlLbl val="0"/>
      </c:catAx>
      <c:valAx>
        <c:axId val="1695264639"/>
        <c:scaling>
          <c:orientation val="minMax"/>
        </c:scaling>
        <c:delete val="1"/>
        <c:axPos val="t"/>
        <c:numFmt formatCode="_(&quot;R$&quot;* #,##0.00_);_(&quot;R$&quot;* \(#,##0.00\);_(&quot;R$&quot;* &quot;-&quot;??_);_(@_)" sourceLinked="1"/>
        <c:majorTickMark val="none"/>
        <c:minorTickMark val="none"/>
        <c:tickLblPos val="nextTo"/>
        <c:crossAx val="1356085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95000"/>
            </a:schemeClr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654570044778407"/>
          <c:y val="0.11168659650441028"/>
          <c:w val="0.48841750241835696"/>
          <c:h val="0.70457826024627646"/>
        </c:manualLayout>
      </c:layout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064E3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DD0E-4623-89E0-1613E55A9832}"/>
              </c:ext>
            </c:extLst>
          </c:dPt>
          <c:dPt>
            <c:idx val="1"/>
            <c:bubble3D val="0"/>
            <c:spPr>
              <a:solidFill>
                <a:srgbClr val="B3F35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D0E-4623-89E0-1613E55A9832}"/>
              </c:ext>
            </c:extLst>
          </c:dPt>
          <c:dLbls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Montserrat" panose="00000500000000000000" pitchFamily="2" charset="0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D0E-4623-89E0-1613E55A98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Montserrat" panose="00000500000000000000" pitchFamily="2" charset="0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Auxiliar!$F$13:$F$14</c:f>
              <c:strCache>
                <c:ptCount val="2"/>
                <c:pt idx="0">
                  <c:v>Despesa Fixa</c:v>
                </c:pt>
                <c:pt idx="1">
                  <c:v>Despesa Variável</c:v>
                </c:pt>
              </c:strCache>
            </c:strRef>
          </c:cat>
          <c:val>
            <c:numRef>
              <c:f>Auxiliar!$H$13:$H$14</c:f>
              <c:numCache>
                <c:formatCode>0.0%</c:formatCode>
                <c:ptCount val="2"/>
                <c:pt idx="0">
                  <c:v>0.65427324332270398</c:v>
                </c:pt>
                <c:pt idx="1">
                  <c:v>0.34572675667729608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0E-4623-89E0-1613E55A9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199164345052405"/>
          <c:y val="0.85921940731880564"/>
          <c:w val="0.59765884371622158"/>
          <c:h val="8.92480159118844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bg1">
                  <a:lumMod val="95000"/>
                </a:schemeClr>
              </a:solidFill>
              <a:latin typeface="Montserrat" panose="00000500000000000000" pitchFamily="2" charset="0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tx>
            <c:v>Marcador</c:v>
          </c:tx>
          <c:spPr>
            <a:ln>
              <a:noFill/>
            </a:ln>
          </c:spPr>
          <c:dPt>
            <c:idx val="0"/>
            <c:bubble3D val="0"/>
            <c:spPr>
              <a:solidFill>
                <a:srgbClr val="064E3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5A-4426-B18B-FCB6AFC59D6A}"/>
              </c:ext>
            </c:extLst>
          </c:dPt>
          <c:dPt>
            <c:idx val="1"/>
            <c:bubble3D val="0"/>
            <c:spPr>
              <a:solidFill>
                <a:srgbClr val="46727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55A-4426-B18B-FCB6AFC59D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55A-4426-B18B-FCB6AFC59D6A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5A-4426-B18B-FCB6AFC59D6A}"/>
              </c:ext>
            </c:extLst>
          </c:dPt>
          <c:cat>
            <c:strRef>
              <c:f>Auxiliar!$F$18:$I$18</c:f>
              <c:strCache>
                <c:ptCount val="4"/>
                <c:pt idx="0">
                  <c:v>Gasto</c:v>
                </c:pt>
                <c:pt idx="1">
                  <c:v>Faltante</c:v>
                </c:pt>
                <c:pt idx="3">
                  <c:v>Total</c:v>
                </c:pt>
              </c:strCache>
            </c:strRef>
          </c:cat>
          <c:val>
            <c:numRef>
              <c:f>Auxiliar!$F$19:$I$19</c:f>
              <c:numCache>
                <c:formatCode>0.00%</c:formatCode>
                <c:ptCount val="4"/>
                <c:pt idx="0">
                  <c:v>0.44056194888656403</c:v>
                </c:pt>
                <c:pt idx="1">
                  <c:v>0.55943805111343603</c:v>
                </c:pt>
                <c:pt idx="3" formatCode="0%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55A-4426-B18B-FCB6AFC59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  <c:holeSize val="43"/>
      </c:doughnutChart>
      <c:pieChart>
        <c:varyColors val="1"/>
        <c:ser>
          <c:idx val="1"/>
          <c:order val="1"/>
          <c:tx>
            <c:v>Ponteiro</c:v>
          </c:tx>
          <c:spPr>
            <a:solidFill>
              <a:srgbClr val="C00000"/>
            </a:solidFill>
          </c:spPr>
          <c:dPt>
            <c:idx val="0"/>
            <c:bubble3D val="0"/>
            <c:explosion val="1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BE-4DCC-94AE-AE015DCFA152}"/>
              </c:ext>
            </c:extLst>
          </c:dPt>
          <c:dPt>
            <c:idx val="1"/>
            <c:bubble3D val="0"/>
            <c:spPr>
              <a:solidFill>
                <a:srgbClr val="B3F35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1BE-4DCC-94AE-AE015DCFA152}"/>
              </c:ext>
            </c:extLst>
          </c:dPt>
          <c:dPt>
            <c:idx val="2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1BE-4DCC-94AE-AE015DCFA152}"/>
              </c:ext>
            </c:extLst>
          </c:dPt>
          <c:dPt>
            <c:idx val="3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91BE-4DCC-94AE-AE015DCFA152}"/>
              </c:ext>
            </c:extLst>
          </c:dPt>
          <c:val>
            <c:numRef>
              <c:f>Auxiliar!$F$21:$I$21</c:f>
              <c:numCache>
                <c:formatCode>0%</c:formatCode>
                <c:ptCount val="4"/>
                <c:pt idx="0" formatCode="0.00%">
                  <c:v>0.44056194888656403</c:v>
                </c:pt>
                <c:pt idx="1">
                  <c:v>0.02</c:v>
                </c:pt>
                <c:pt idx="2" formatCode="0.00%">
                  <c:v>0.53943805111343601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BE-4DCC-94AE-AE015DCFA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7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3693165869969123E-2"/>
          <c:y val="8.1802249356912521E-2"/>
          <c:w val="0.95261366826006177"/>
          <c:h val="0.62608057140949891"/>
        </c:manualLayout>
      </c:layout>
      <c:barChart>
        <c:barDir val="col"/>
        <c:grouping val="stacked"/>
        <c:varyColors val="0"/>
        <c:ser>
          <c:idx val="0"/>
          <c:order val="0"/>
          <c:tx>
            <c:v>% Valor já acumulado</c:v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Metas!$B$10:$B$13</c:f>
              <c:strCache>
                <c:ptCount val="4"/>
                <c:pt idx="0">
                  <c:v>Viagem Internacional</c:v>
                </c:pt>
                <c:pt idx="1">
                  <c:v>Carro Novo</c:v>
                </c:pt>
                <c:pt idx="2">
                  <c:v>Reserva de Emergência</c:v>
                </c:pt>
                <c:pt idx="3">
                  <c:v>Casa Nova</c:v>
                </c:pt>
              </c:strCache>
            </c:strRef>
          </c:cat>
          <c:val>
            <c:numRef>
              <c:f>Metas!$E$10:$E$13</c:f>
              <c:numCache>
                <c:formatCode>0%</c:formatCode>
                <c:ptCount val="4"/>
                <c:pt idx="0">
                  <c:v>0.15</c:v>
                </c:pt>
                <c:pt idx="1">
                  <c:v>0</c:v>
                </c:pt>
                <c:pt idx="2">
                  <c:v>1</c:v>
                </c:pt>
                <c:pt idx="3">
                  <c:v>0.22500000000000001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11-4E9D-BD58-9D6EE64B54DE}"/>
            </c:ext>
          </c:extLst>
        </c:ser>
        <c:ser>
          <c:idx val="1"/>
          <c:order val="1"/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Metas!$B$10:$B$13</c:f>
              <c:strCache>
                <c:ptCount val="4"/>
                <c:pt idx="0">
                  <c:v>Viagem Internacional</c:v>
                </c:pt>
                <c:pt idx="1">
                  <c:v>Carro Novo</c:v>
                </c:pt>
                <c:pt idx="2">
                  <c:v>Reserva de Emergência</c:v>
                </c:pt>
                <c:pt idx="3">
                  <c:v>Casa Nova</c:v>
                </c:pt>
              </c:strCache>
            </c:strRef>
          </c:cat>
          <c:val>
            <c:numRef>
              <c:f>Metas!$F$10:$F$13</c:f>
              <c:numCache>
                <c:formatCode>0%</c:formatCode>
                <c:ptCount val="4"/>
                <c:pt idx="0">
                  <c:v>0.85</c:v>
                </c:pt>
                <c:pt idx="1">
                  <c:v>1</c:v>
                </c:pt>
                <c:pt idx="2">
                  <c:v>0</c:v>
                </c:pt>
                <c:pt idx="3">
                  <c:v>0.77500000000000002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11-4E9D-BD58-9D6EE64B5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79888432"/>
        <c:axId val="1079877872"/>
      </c:barChart>
      <c:catAx>
        <c:axId val="107988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79877872"/>
        <c:crosses val="autoZero"/>
        <c:auto val="1"/>
        <c:lblAlgn val="ctr"/>
        <c:lblOffset val="100"/>
        <c:noMultiLvlLbl val="0"/>
      </c:catAx>
      <c:valAx>
        <c:axId val="1079877872"/>
        <c:scaling>
          <c:orientation val="minMax"/>
          <c:max val="1"/>
        </c:scaling>
        <c:delete val="1"/>
        <c:axPos val="l"/>
        <c:numFmt formatCode="0%" sourceLinked="1"/>
        <c:majorTickMark val="none"/>
        <c:minorTickMark val="none"/>
        <c:tickLblPos val="nextTo"/>
        <c:crossAx val="1079888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3667798748858378"/>
          <c:y val="0.85808861461420316"/>
          <c:w val="0.25782438394800733"/>
          <c:h val="0.134474817262441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size">
        <cx:f>_xlchart.v1.1</cx:f>
      </cx:numDim>
    </cx:data>
  </cx:chartData>
  <cx:chart>
    <cx:plotArea>
      <cx:plotAreaRegion>
        <cx:series layoutId="treemap" uniqueId="{8B9A4BFB-2314-4871-AF95-D559BAB3F758}">
          <cx:spPr>
            <a:ln w="3175">
              <a:noFill/>
            </a:ln>
          </cx:spPr>
          <cx:dataPt idx="0">
            <cx:spPr>
              <a:solidFill>
                <a:srgbClr val="064E36"/>
              </a:solidFill>
            </cx:spPr>
          </cx:dataPt>
          <cx:dataPt idx="1">
            <cx:spPr>
              <a:solidFill>
                <a:srgbClr val="467270"/>
              </a:solidFill>
            </cx:spPr>
          </cx:dataPt>
          <cx:dataPt idx="2">
            <cx:spPr>
              <a:solidFill>
                <a:srgbClr val="2A4443"/>
              </a:solidFill>
            </cx:spPr>
          </cx:dataPt>
          <cx:dataPt idx="3">
            <cx:spPr>
              <a:solidFill>
                <a:srgbClr val="B3F35F"/>
              </a:solidFill>
            </cx:spPr>
          </cx:dataPt>
          <cx:dataPt idx="4">
            <cx:spPr>
              <a:solidFill>
                <a:srgbClr val="043223"/>
              </a:solidFill>
            </cx:spPr>
          </cx:dataPt>
          <cx:dataPt idx="6">
            <cx:spPr>
              <a:solidFill>
                <a:srgbClr val="FFC000">
                  <a:lumMod val="60000"/>
                  <a:lumOff val="40000"/>
                </a:srgbClr>
              </a:solidFill>
            </cx:spPr>
          </cx:dataPt>
          <cx:dataLabels pos="inEnd">
            <cx:numFmt formatCode="R$ #.##0" sourceLinked="0"/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900" b="0">
                    <a:solidFill>
                      <a:schemeClr val="bg1">
                        <a:lumMod val="95000"/>
                      </a:schemeClr>
                    </a:solidFill>
                    <a:latin typeface="Montserrat" panose="00000500000000000000" pitchFamily="2" charset="0"/>
                    <a:ea typeface="Montserrat" panose="00000500000000000000" pitchFamily="2" charset="0"/>
                    <a:cs typeface="Montserrat" panose="00000500000000000000" pitchFamily="2" charset="0"/>
                  </a:defRPr>
                </a:pPr>
                <a:endParaRPr lang="pt-BR" sz="900" b="0" i="0" u="none" strike="noStrike" baseline="0">
                  <a:solidFill>
                    <a:schemeClr val="bg1">
                      <a:lumMod val="95000"/>
                    </a:schemeClr>
                  </a:solidFill>
                  <a:latin typeface="Montserrat" panose="00000500000000000000" pitchFamily="2" charset="0"/>
                </a:endParaRPr>
              </a:p>
            </cx:txPr>
            <cx:visibility seriesName="0" categoryName="1" value="1"/>
            <cx:separator>
</cx:separator>
            <cx:dataLabel idx="0">
              <cx:numFmt formatCode="R$ #.##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="0"/>
                  </a:pPr>
                  <a:r>
                    <a:rPr lang="pt-BR" sz="900" b="0" i="0" u="none" strike="noStrike" baseline="0">
                      <a:solidFill>
                        <a:schemeClr val="bg1">
                          <a:lumMod val="95000"/>
                        </a:schemeClr>
                      </a:solidFill>
                      <a:latin typeface="Montserrat" panose="00000500000000000000" pitchFamily="2" charset="0"/>
                    </a:rPr>
                    <a:t>Ações
R$ 1.240</a:t>
                  </a:r>
                </a:p>
              </cx:txPr>
              <cx:visibility seriesName="0" categoryName="1" value="1"/>
              <cx:separator>
</cx:separator>
            </cx:dataLabel>
            <cx:dataLabel idx="3">
              <cx:numFmt formatCode="R$ #.##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chemeClr val="tx1"/>
                      </a:solidFill>
                    </a:defRPr>
                  </a:pPr>
                  <a:r>
                    <a:rPr lang="pt-BR" sz="900" b="0" i="0" u="none" strike="noStrike" baseline="0">
                      <a:solidFill>
                        <a:schemeClr val="tx1"/>
                      </a:solidFill>
                      <a:latin typeface="Montserrat" panose="00000500000000000000" pitchFamily="2" charset="0"/>
                    </a:rPr>
                    <a:t>Previdência Privada
R$ 400</a:t>
                  </a:r>
                </a:p>
              </cx:txPr>
              <cx:visibility seriesName="0" categoryName="1" value="1"/>
              <cx:separator>
</cx:separator>
            </cx:dataLabel>
            <cx:dataLabel idx="6">
              <cx:numFmt formatCode="R$ #.##0" sourceLinked="0"/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 b="1"/>
                  </a:pPr>
                  <a:r>
                    <a:rPr lang="pt-BR" sz="900" b="1" i="0" u="none" strike="noStrike" baseline="0">
                      <a:solidFill>
                        <a:sysClr val="window" lastClr="FFFFFF"/>
                      </a:solidFill>
                      <a:latin typeface="Montserrat" panose="00000500000000000000" pitchFamily="2" charset="0"/>
                    </a:rPr>
                    <a:t>Compras</a:t>
                  </a:r>
                </a:p>
              </cx:txPr>
              <cx:visibility seriesName="0" categoryName="1" value="1"/>
              <cx:separator>
</cx:separator>
            </cx:dataLabel>
          </cx:dataLabels>
          <cx:dataId val="0"/>
          <cx:layoutPr>
            <cx:parentLabelLayout val="overlapping"/>
          </cx:layoutPr>
        </cx:series>
      </cx:plotAreaRegion>
    </cx:plotArea>
  </cx:chart>
  <cx:spPr>
    <a:noFill/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15" dropStyle="combo" dx="22" fmlaLink="Auxiliar!$Z$1" fmlaRange="mov" noThreeD="1" sel="1" val="0"/>
</file>

<file path=xl/ctrlProps/ctrlProp2.xml><?xml version="1.0" encoding="utf-8"?>
<formControlPr xmlns="http://schemas.microsoft.com/office/spreadsheetml/2009/9/main" objectType="Drop" dropLines="10" dropStyle="combo" dx="22" fmlaLink="Auxiliar!$AB$1" fmlaRange="categoria" noThreeD="1" sel="1" val="0"/>
</file>

<file path=xl/ctrlProps/ctrlProp3.xml><?xml version="1.0" encoding="utf-8"?>
<formControlPr xmlns="http://schemas.microsoft.com/office/spreadsheetml/2009/9/main" objectType="Drop" dropLines="13" dropStyle="combo" dx="26" fmlaLink="Auxiliar!$Q$14" fmlaRange="Auxiliar!$Q$1:$Q$13" noThreeD="1" sel="1" val="0"/>
</file>

<file path=xl/ctrlProps/ctrlProp4.xml><?xml version="1.0" encoding="utf-8"?>
<formControlPr xmlns="http://schemas.microsoft.com/office/spreadsheetml/2009/9/main" objectType="Drop" dropStyle="combo" dx="26" fmlaLink="Auxiliar!$AE$1" fmlaRange="anos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image" Target="../media/image9.svg"/><Relationship Id="rId3" Type="http://schemas.microsoft.com/office/2014/relationships/chartEx" Target="../charts/chartEx1.xml"/><Relationship Id="rId7" Type="http://schemas.openxmlformats.org/officeDocument/2006/relationships/chart" Target="../charts/chart7.xml"/><Relationship Id="rId12" Type="http://schemas.openxmlformats.org/officeDocument/2006/relationships/image" Target="../media/image8.png"/><Relationship Id="rId2" Type="http://schemas.openxmlformats.org/officeDocument/2006/relationships/chart" Target="../charts/chart3.xml"/><Relationship Id="rId16" Type="http://schemas.openxmlformats.org/officeDocument/2006/relationships/image" Target="../media/image12.png"/><Relationship Id="rId1" Type="http://schemas.openxmlformats.org/officeDocument/2006/relationships/chart" Target="../charts/chart2.xml"/><Relationship Id="rId6" Type="http://schemas.openxmlformats.org/officeDocument/2006/relationships/chart" Target="../charts/chart6.xml"/><Relationship Id="rId11" Type="http://schemas.openxmlformats.org/officeDocument/2006/relationships/image" Target="../media/image7.svg"/><Relationship Id="rId5" Type="http://schemas.openxmlformats.org/officeDocument/2006/relationships/chart" Target="../charts/chart5.xml"/><Relationship Id="rId15" Type="http://schemas.openxmlformats.org/officeDocument/2006/relationships/image" Target="../media/image11.svg"/><Relationship Id="rId10" Type="http://schemas.openxmlformats.org/officeDocument/2006/relationships/image" Target="../media/image6.png"/><Relationship Id="rId4" Type="http://schemas.openxmlformats.org/officeDocument/2006/relationships/chart" Target="../charts/chart4.xml"/><Relationship Id="rId9" Type="http://schemas.openxmlformats.org/officeDocument/2006/relationships/image" Target="../media/image5.svg"/><Relationship Id="rId1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1586753</xdr:colOff>
      <xdr:row>1</xdr:row>
      <xdr:rowOff>107576</xdr:rowOff>
    </xdr:from>
    <xdr:to>
      <xdr:col>4</xdr:col>
      <xdr:colOff>35859</xdr:colOff>
      <xdr:row>3</xdr:row>
      <xdr:rowOff>44824</xdr:rowOff>
    </xdr:to>
    <xdr:sp macro="" textlink="D3">
      <xdr:nvSpPr>
        <xdr:cNvPr id="2" name="Retângulo: Cantos Arredondados 1">
          <a:extLst>
            <a:ext uri="{FF2B5EF4-FFF2-40B4-BE49-F238E27FC236}">
              <a16:creationId xmlns:a16="http://schemas.microsoft.com/office/drawing/2014/main" id="{7015FC98-18F4-3EC8-6B6F-8669F9FE9513}"/>
            </a:ext>
          </a:extLst>
        </xdr:cNvPr>
        <xdr:cNvSpPr/>
      </xdr:nvSpPr>
      <xdr:spPr>
        <a:xfrm>
          <a:off x="4634753" y="779929"/>
          <a:ext cx="1317812" cy="358589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62EACC1-DC87-4B45-A2DB-15CF80545083}" type="TxLink"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 R$ 227.605,00 </a:t>
          </a:fld>
          <a:endParaRPr lang="pt-BR" sz="1100"/>
        </a:p>
      </xdr:txBody>
    </xdr:sp>
    <xdr:clientData/>
  </xdr:twoCellAnchor>
  <xdr:twoCellAnchor editAs="oneCell">
    <xdr:from>
      <xdr:col>4</xdr:col>
      <xdr:colOff>819149</xdr:colOff>
      <xdr:row>0</xdr:row>
      <xdr:rowOff>171450</xdr:rowOff>
    </xdr:from>
    <xdr:to>
      <xdr:col>5</xdr:col>
      <xdr:colOff>819150</xdr:colOff>
      <xdr:row>2</xdr:row>
      <xdr:rowOff>127316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A3FC0771-7AF2-71AA-1FF7-D205CB2F0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62724" y="171450"/>
          <a:ext cx="952501" cy="77501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1210235</xdr:colOff>
      <xdr:row>1</xdr:row>
      <xdr:rowOff>121024</xdr:rowOff>
    </xdr:from>
    <xdr:to>
      <xdr:col>8</xdr:col>
      <xdr:colOff>1198708</xdr:colOff>
      <xdr:row>7</xdr:row>
      <xdr:rowOff>161366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7434A6A-0E56-7E7D-0E03-D7090A14E5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38101</xdr:colOff>
      <xdr:row>0</xdr:row>
      <xdr:rowOff>123826</xdr:rowOff>
    </xdr:from>
    <xdr:to>
      <xdr:col>1</xdr:col>
      <xdr:colOff>933451</xdr:colOff>
      <xdr:row>2</xdr:row>
      <xdr:rowOff>120123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60D6A96-9706-744E-DD7D-A89485283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1" y="123826"/>
          <a:ext cx="895350" cy="844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44823</xdr:colOff>
      <xdr:row>1</xdr:row>
      <xdr:rowOff>98614</xdr:rowOff>
    </xdr:from>
    <xdr:to>
      <xdr:col>4</xdr:col>
      <xdr:colOff>62541</xdr:colOff>
      <xdr:row>3</xdr:row>
      <xdr:rowOff>37273</xdr:rowOff>
    </xdr:to>
    <xdr:sp macro="" textlink="D3">
      <xdr:nvSpPr>
        <xdr:cNvPr id="4" name="Retângulo: Cantos Arredondados 3">
          <a:extLst>
            <a:ext uri="{FF2B5EF4-FFF2-40B4-BE49-F238E27FC236}">
              <a16:creationId xmlns:a16="http://schemas.microsoft.com/office/drawing/2014/main" id="{AB61A076-00F5-451D-9F40-6A48604ADAA4}"/>
            </a:ext>
          </a:extLst>
        </xdr:cNvPr>
        <xdr:cNvSpPr/>
      </xdr:nvSpPr>
      <xdr:spPr>
        <a:xfrm>
          <a:off x="4921623" y="770967"/>
          <a:ext cx="1317600" cy="360000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62EACC1-DC87-4B45-A2DB-15CF80545083}" type="TxLink"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 R$ 98.887,00 </a:t>
          </a:fld>
          <a:endParaRPr lang="pt-BR" sz="1100"/>
        </a:p>
      </xdr:txBody>
    </xdr:sp>
    <xdr:clientData/>
  </xdr:twoCellAnchor>
  <xdr:twoCellAnchor editAs="oneCell">
    <xdr:from>
      <xdr:col>6</xdr:col>
      <xdr:colOff>408129</xdr:colOff>
      <xdr:row>0</xdr:row>
      <xdr:rowOff>56697</xdr:rowOff>
    </xdr:from>
    <xdr:to>
      <xdr:col>7</xdr:col>
      <xdr:colOff>737054</xdr:colOff>
      <xdr:row>2</xdr:row>
      <xdr:rowOff>170089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CC8D3DB-B9AE-2873-0D82-F3D8C1EF7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28040" y="56697"/>
          <a:ext cx="1156693" cy="941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116541</xdr:rowOff>
    </xdr:from>
    <xdr:to>
      <xdr:col>4</xdr:col>
      <xdr:colOff>179294</xdr:colOff>
      <xdr:row>3</xdr:row>
      <xdr:rowOff>53789</xdr:rowOff>
    </xdr:to>
    <xdr:sp macro="" textlink="D3">
      <xdr:nvSpPr>
        <xdr:cNvPr id="5" name="Retângulo: Cantos Arredondados 4">
          <a:extLst>
            <a:ext uri="{FF2B5EF4-FFF2-40B4-BE49-F238E27FC236}">
              <a16:creationId xmlns:a16="http://schemas.microsoft.com/office/drawing/2014/main" id="{5F5F7A18-69ED-40C3-9A2A-DA1A83B86809}"/>
            </a:ext>
          </a:extLst>
        </xdr:cNvPr>
        <xdr:cNvSpPr/>
      </xdr:nvSpPr>
      <xdr:spPr>
        <a:xfrm>
          <a:off x="4634753" y="788894"/>
          <a:ext cx="1317812" cy="358589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62EACC1-DC87-4B45-A2DB-15CF80545083}" type="TxLink"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 R$ 29.815,00 </a:t>
          </a:fld>
          <a:endParaRPr lang="pt-BR" sz="1100"/>
        </a:p>
      </xdr:txBody>
    </xdr:sp>
    <xdr:clientData/>
  </xdr:twoCellAnchor>
  <xdr:twoCellAnchor editAs="oneCell">
    <xdr:from>
      <xdr:col>4</xdr:col>
      <xdr:colOff>952500</xdr:colOff>
      <xdr:row>0</xdr:row>
      <xdr:rowOff>114300</xdr:rowOff>
    </xdr:from>
    <xdr:to>
      <xdr:col>5</xdr:col>
      <xdr:colOff>813261</xdr:colOff>
      <xdr:row>2</xdr:row>
      <xdr:rowOff>142875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DCCE405-3FF2-8942-529F-E3F914BE0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4125" y="114300"/>
          <a:ext cx="1041861" cy="847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515946</xdr:colOff>
      <xdr:row>3</xdr:row>
      <xdr:rowOff>89191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1D61A0D-1D52-4FD7-AF4E-3C426DB4E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5946" cy="6270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708475</xdr:colOff>
      <xdr:row>2</xdr:row>
      <xdr:rowOff>228602</xdr:rowOff>
    </xdr:from>
    <xdr:to>
      <xdr:col>6</xdr:col>
      <xdr:colOff>76156</xdr:colOff>
      <xdr:row>4</xdr:row>
      <xdr:rowOff>86141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96F53BA0-2857-460F-8C80-AF1DF44D30FD}"/>
            </a:ext>
          </a:extLst>
        </xdr:cNvPr>
        <xdr:cNvSpPr/>
      </xdr:nvSpPr>
      <xdr:spPr>
        <a:xfrm>
          <a:off x="4730142" y="1022352"/>
          <a:ext cx="891681" cy="407872"/>
        </a:xfrm>
        <a:prstGeom prst="roundRect">
          <a:avLst>
            <a:gd name="adj" fmla="val 50000"/>
          </a:avLst>
        </a:prstGeom>
        <a:noFill/>
        <a:ln w="28575" cmpd="sng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endParaRPr lang="pt-BR" sz="1600" b="1">
            <a:solidFill>
              <a:schemeClr val="tx1">
                <a:lumMod val="95000"/>
                <a:lumOff val="5000"/>
              </a:schemeClr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707572</xdr:colOff>
      <xdr:row>2</xdr:row>
      <xdr:rowOff>258887</xdr:rowOff>
    </xdr:from>
    <xdr:to>
      <xdr:col>15</xdr:col>
      <xdr:colOff>21772</xdr:colOff>
      <xdr:row>4</xdr:row>
      <xdr:rowOff>97971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AFF7296A-C3D1-45D1-922B-760907941655}"/>
            </a:ext>
          </a:extLst>
        </xdr:cNvPr>
        <xdr:cNvSpPr/>
      </xdr:nvSpPr>
      <xdr:spPr>
        <a:xfrm>
          <a:off x="12126686" y="1053544"/>
          <a:ext cx="1251857" cy="405141"/>
        </a:xfrm>
        <a:prstGeom prst="roundRect">
          <a:avLst>
            <a:gd name="adj" fmla="val 45860"/>
          </a:avLst>
        </a:prstGeom>
        <a:noFill/>
        <a:ln w="28575" cmpd="sng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endParaRPr lang="pt-BR" sz="1600" b="1">
            <a:solidFill>
              <a:schemeClr val="bg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206188</xdr:colOff>
      <xdr:row>30</xdr:row>
      <xdr:rowOff>135752</xdr:rowOff>
    </xdr:from>
    <xdr:to>
      <xdr:col>14</xdr:col>
      <xdr:colOff>1075764</xdr:colOff>
      <xdr:row>45</xdr:row>
      <xdr:rowOff>165847</xdr:rowOff>
    </xdr:to>
    <xdr:graphicFrame macro="">
      <xdr:nvGraphicFramePr>
        <xdr:cNvPr id="23" name="Gráfico 22">
          <a:extLst>
            <a:ext uri="{FF2B5EF4-FFF2-40B4-BE49-F238E27FC236}">
              <a16:creationId xmlns:a16="http://schemas.microsoft.com/office/drawing/2014/main" id="{28337312-519A-259D-246E-49A2A964BB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25</xdr:row>
          <xdr:rowOff>95250</xdr:rowOff>
        </xdr:from>
        <xdr:to>
          <xdr:col>9</xdr:col>
          <xdr:colOff>161925</xdr:colOff>
          <xdr:row>26</xdr:row>
          <xdr:rowOff>171450</xdr:rowOff>
        </xdr:to>
        <xdr:sp macro="" textlink="">
          <xdr:nvSpPr>
            <xdr:cNvPr id="5123" name="Drop Dow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5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238125</xdr:colOff>
          <xdr:row>27</xdr:row>
          <xdr:rowOff>76200</xdr:rowOff>
        </xdr:from>
        <xdr:to>
          <xdr:col>9</xdr:col>
          <xdr:colOff>161925</xdr:colOff>
          <xdr:row>28</xdr:row>
          <xdr:rowOff>152400</xdr:rowOff>
        </xdr:to>
        <xdr:sp macro="" textlink="">
          <xdr:nvSpPr>
            <xdr:cNvPr id="5124" name="Drop Down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5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244283</xdr:colOff>
      <xdr:row>29</xdr:row>
      <xdr:rowOff>60190</xdr:rowOff>
    </xdr:from>
    <xdr:to>
      <xdr:col>9</xdr:col>
      <xdr:colOff>156878</xdr:colOff>
      <xdr:row>31</xdr:row>
      <xdr:rowOff>9605</xdr:rowOff>
    </xdr:to>
    <xdr:sp macro="" textlink="Auxiliar!T14">
      <xdr:nvSpPr>
        <xdr:cNvPr id="38" name="CaixaDeTexto 37">
          <a:extLst>
            <a:ext uri="{FF2B5EF4-FFF2-40B4-BE49-F238E27FC236}">
              <a16:creationId xmlns:a16="http://schemas.microsoft.com/office/drawing/2014/main" id="{D531747D-84BE-4E4D-9DC1-8EDBFF67C7C2}"/>
            </a:ext>
          </a:extLst>
        </xdr:cNvPr>
        <xdr:cNvSpPr txBox="1"/>
      </xdr:nvSpPr>
      <xdr:spPr>
        <a:xfrm>
          <a:off x="6770589" y="5941037"/>
          <a:ext cx="1490383" cy="308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6E913C5A-9078-42F0-9979-3471807DF2B4}" type="TxLink">
            <a:rPr lang="en-US" sz="1100" b="0" i="0" u="none" strike="noStrike">
              <a:solidFill>
                <a:srgbClr val="212C2E"/>
              </a:solidFill>
              <a:latin typeface="Montserrat" panose="00000500000000000000" pitchFamily="2" charset="0"/>
              <a:ea typeface="Calibri"/>
              <a:cs typeface="Calibri"/>
            </a:rPr>
            <a:pPr algn="ctr"/>
            <a:t> R$ 84.400 </a:t>
          </a:fld>
          <a:endParaRPr lang="pt-BR" sz="1100" b="0" i="0" u="none" strike="noStrike">
            <a:solidFill>
              <a:srgbClr val="212C2E"/>
            </a:solidFill>
            <a:latin typeface="Montserrat" panose="00000500000000000000" pitchFamily="2" charset="0"/>
            <a:ea typeface="Calibri"/>
            <a:cs typeface="Calibri"/>
          </a:endParaRPr>
        </a:p>
      </xdr:txBody>
    </xdr:sp>
    <xdr:clientData/>
  </xdr:twoCellAnchor>
  <xdr:twoCellAnchor>
    <xdr:from>
      <xdr:col>4</xdr:col>
      <xdr:colOff>658907</xdr:colOff>
      <xdr:row>25</xdr:row>
      <xdr:rowOff>125506</xdr:rowOff>
    </xdr:from>
    <xdr:to>
      <xdr:col>7</xdr:col>
      <xdr:colOff>239911</xdr:colOff>
      <xdr:row>26</xdr:row>
      <xdr:rowOff>131385</xdr:rowOff>
    </xdr:to>
    <xdr:sp macro="" textlink="A28">
      <xdr:nvSpPr>
        <xdr:cNvPr id="39" name="CaixaDeTexto 38">
          <a:extLst>
            <a:ext uri="{FF2B5EF4-FFF2-40B4-BE49-F238E27FC236}">
              <a16:creationId xmlns:a16="http://schemas.microsoft.com/office/drawing/2014/main" id="{255719DB-96A7-4CBA-AC61-F2CB9ABD2F4D}"/>
            </a:ext>
          </a:extLst>
        </xdr:cNvPr>
        <xdr:cNvSpPr txBox="1"/>
      </xdr:nvSpPr>
      <xdr:spPr>
        <a:xfrm>
          <a:off x="4795478" y="5437735"/>
          <a:ext cx="1932319" cy="190936"/>
        </a:xfrm>
        <a:prstGeom prst="rect">
          <a:avLst/>
        </a:prstGeom>
        <a:noFill/>
        <a:ln w="9525" cmpd="sng">
          <a:noFill/>
        </a:ln>
        <a:effectLst/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7C7999C6-B2A4-45C4-90D4-7E75D94B6D97}" type="TxLink">
            <a:rPr lang="en-US" sz="1100" b="0" i="0" u="none" strike="noStrike">
              <a:solidFill>
                <a:srgbClr val="212C2E"/>
              </a:solidFill>
              <a:latin typeface="Montserrat" panose="00000500000000000000" pitchFamily="2" charset="0"/>
              <a:ea typeface="Calibri"/>
              <a:cs typeface="Calibri"/>
            </a:rPr>
            <a:pPr marL="0" indent="0" algn="ctr"/>
            <a:t>Tipo de Movimentação</a:t>
          </a:fld>
          <a:endParaRPr lang="pt-BR" sz="1100" b="0" i="0" u="none" strike="noStrike">
            <a:solidFill>
              <a:srgbClr val="212C2E"/>
            </a:solidFill>
            <a:latin typeface="Montserrat" panose="00000500000000000000" pitchFamily="2" charset="0"/>
            <a:ea typeface="Calibri"/>
            <a:cs typeface="Calibri"/>
          </a:endParaRPr>
        </a:p>
      </xdr:txBody>
    </xdr:sp>
    <xdr:clientData/>
  </xdr:twoCellAnchor>
  <xdr:twoCellAnchor>
    <xdr:from>
      <xdr:col>4</xdr:col>
      <xdr:colOff>658907</xdr:colOff>
      <xdr:row>27</xdr:row>
      <xdr:rowOff>121022</xdr:rowOff>
    </xdr:from>
    <xdr:to>
      <xdr:col>7</xdr:col>
      <xdr:colOff>239911</xdr:colOff>
      <xdr:row>28</xdr:row>
      <xdr:rowOff>125328</xdr:rowOff>
    </xdr:to>
    <xdr:sp macro="" textlink="A29">
      <xdr:nvSpPr>
        <xdr:cNvPr id="40" name="CaixaDeTexto 39">
          <a:extLst>
            <a:ext uri="{FF2B5EF4-FFF2-40B4-BE49-F238E27FC236}">
              <a16:creationId xmlns:a16="http://schemas.microsoft.com/office/drawing/2014/main" id="{922D1DEB-0CEF-4019-99CC-A6F8DB897B36}"/>
            </a:ext>
          </a:extLst>
        </xdr:cNvPr>
        <xdr:cNvSpPr txBox="1"/>
      </xdr:nvSpPr>
      <xdr:spPr>
        <a:xfrm>
          <a:off x="4795478" y="5803365"/>
          <a:ext cx="1932319" cy="189363"/>
        </a:xfrm>
        <a:prstGeom prst="rect">
          <a:avLst/>
        </a:prstGeom>
        <a:noFill/>
        <a:ln w="9525" cmpd="sng">
          <a:noFill/>
        </a:ln>
        <a:effectLst/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C09B2473-6B27-4757-90AD-E4308B8DE3FB}" type="TxLink">
            <a:rPr lang="en-US" sz="1100" b="0" i="0" u="none" strike="noStrike">
              <a:solidFill>
                <a:srgbClr val="212C2E"/>
              </a:solidFill>
              <a:latin typeface="Montserrat" panose="00000500000000000000" pitchFamily="2" charset="0"/>
              <a:ea typeface="Calibri"/>
              <a:cs typeface="Calibri"/>
            </a:rPr>
            <a:pPr marL="0" indent="0" algn="ctr"/>
            <a:t>Categoria</a:t>
          </a:fld>
          <a:endParaRPr lang="pt-BR" sz="1100" b="0" i="0" u="none" strike="noStrike">
            <a:solidFill>
              <a:srgbClr val="212C2E"/>
            </a:solidFill>
            <a:latin typeface="Montserrat" panose="00000500000000000000" pitchFamily="2" charset="0"/>
            <a:ea typeface="Calibri"/>
            <a:cs typeface="Calibri"/>
          </a:endParaRPr>
        </a:p>
      </xdr:txBody>
    </xdr:sp>
    <xdr:clientData/>
  </xdr:twoCellAnchor>
  <xdr:twoCellAnchor>
    <xdr:from>
      <xdr:col>4</xdr:col>
      <xdr:colOff>658908</xdr:colOff>
      <xdr:row>29</xdr:row>
      <xdr:rowOff>97919</xdr:rowOff>
    </xdr:from>
    <xdr:to>
      <xdr:col>7</xdr:col>
      <xdr:colOff>239912</xdr:colOff>
      <xdr:row>30</xdr:row>
      <xdr:rowOff>102225</xdr:rowOff>
    </xdr:to>
    <xdr:sp macro="" textlink="A30">
      <xdr:nvSpPr>
        <xdr:cNvPr id="41" name="CaixaDeTexto 40">
          <a:extLst>
            <a:ext uri="{FF2B5EF4-FFF2-40B4-BE49-F238E27FC236}">
              <a16:creationId xmlns:a16="http://schemas.microsoft.com/office/drawing/2014/main" id="{165D81C4-AE45-4A16-A1D1-A593F9276094}"/>
            </a:ext>
          </a:extLst>
        </xdr:cNvPr>
        <xdr:cNvSpPr txBox="1"/>
      </xdr:nvSpPr>
      <xdr:spPr>
        <a:xfrm>
          <a:off x="4818532" y="5978766"/>
          <a:ext cx="1947686" cy="183600"/>
        </a:xfrm>
        <a:prstGeom prst="rect">
          <a:avLst/>
        </a:prstGeom>
        <a:noFill/>
        <a:ln w="9525" cmpd="sng">
          <a:noFill/>
        </a:ln>
        <a:effectLst/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fld id="{A572BAE4-22E1-4A3D-A185-764C3668F43B}" type="TxLink">
            <a:rPr lang="en-US" sz="1100" b="0" i="0" u="none" strike="noStrike">
              <a:solidFill>
                <a:srgbClr val="212C2E"/>
              </a:solidFill>
              <a:latin typeface="Montserrat" panose="00000500000000000000" pitchFamily="2" charset="0"/>
              <a:ea typeface="Calibri"/>
              <a:cs typeface="Calibri"/>
            </a:rPr>
            <a:pPr marL="0" indent="0" algn="ctr"/>
            <a:t>Total</a:t>
          </a:fld>
          <a:endParaRPr lang="pt-BR" sz="1100" b="0" i="0" u="none" strike="noStrike">
            <a:solidFill>
              <a:srgbClr val="212C2E"/>
            </a:solidFill>
            <a:latin typeface="Montserrat" panose="00000500000000000000" pitchFamily="2" charset="0"/>
            <a:ea typeface="Calibri"/>
            <a:cs typeface="Calibri"/>
          </a:endParaRPr>
        </a:p>
      </xdr:txBody>
    </xdr:sp>
    <xdr:clientData/>
  </xdr:twoCellAnchor>
  <xdr:twoCellAnchor editAs="oneCell">
    <xdr:from>
      <xdr:col>1</xdr:col>
      <xdr:colOff>248411</xdr:colOff>
      <xdr:row>0</xdr:row>
      <xdr:rowOff>149988</xdr:rowOff>
    </xdr:from>
    <xdr:to>
      <xdr:col>1</xdr:col>
      <xdr:colOff>1407585</xdr:colOff>
      <xdr:row>3</xdr:row>
      <xdr:rowOff>209128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id="{13AE3721-1055-ECC7-0193-A302EFDB6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911" y="149988"/>
          <a:ext cx="1159174" cy="11386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25</xdr:col>
      <xdr:colOff>0</xdr:colOff>
      <xdr:row>124</xdr:row>
      <xdr:rowOff>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9AA900A3-48A5-461E-BE64-303AB2BC1BCC}"/>
            </a:ext>
          </a:extLst>
        </xdr:cNvPr>
        <xdr:cNvSpPr/>
      </xdr:nvSpPr>
      <xdr:spPr>
        <a:xfrm>
          <a:off x="0" y="719667"/>
          <a:ext cx="13726583" cy="6836833"/>
        </a:xfrm>
        <a:prstGeom prst="rect">
          <a:avLst/>
        </a:prstGeom>
        <a:solidFill>
          <a:srgbClr val="1B272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19</xdr:col>
      <xdr:colOff>272142</xdr:colOff>
      <xdr:row>23</xdr:row>
      <xdr:rowOff>93461</xdr:rowOff>
    </xdr:from>
    <xdr:to>
      <xdr:col>24</xdr:col>
      <xdr:colOff>484093</xdr:colOff>
      <xdr:row>36</xdr:row>
      <xdr:rowOff>163837</xdr:rowOff>
    </xdr:to>
    <xdr:sp macro="" textlink="">
      <xdr:nvSpPr>
        <xdr:cNvPr id="3" name="Retângulo: Cantos Arredondados 2">
          <a:extLst>
            <a:ext uri="{FF2B5EF4-FFF2-40B4-BE49-F238E27FC236}">
              <a16:creationId xmlns:a16="http://schemas.microsoft.com/office/drawing/2014/main" id="{A0E05F7A-99CC-455C-952A-A508892104E9}"/>
            </a:ext>
          </a:extLst>
        </xdr:cNvPr>
        <xdr:cNvSpPr/>
      </xdr:nvSpPr>
      <xdr:spPr>
        <a:xfrm>
          <a:off x="10635342" y="4545718"/>
          <a:ext cx="3259951" cy="2476119"/>
        </a:xfrm>
        <a:prstGeom prst="roundRect">
          <a:avLst>
            <a:gd name="adj" fmla="val 4874"/>
          </a:avLst>
        </a:prstGeom>
        <a:solidFill>
          <a:srgbClr val="212C2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900">
            <a:solidFill>
              <a:schemeClr val="accent5">
                <a:lumMod val="60000"/>
                <a:lumOff val="40000"/>
              </a:schemeClr>
            </a:solidFill>
            <a:latin typeface="Montserrat" panose="00000500000000000000" pitchFamily="2" charset="0"/>
          </a:endParaRPr>
        </a:p>
      </xdr:txBody>
    </xdr:sp>
    <xdr:clientData/>
  </xdr:twoCellAnchor>
  <xdr:twoCellAnchor>
    <xdr:from>
      <xdr:col>2</xdr:col>
      <xdr:colOff>243840</xdr:colOff>
      <xdr:row>9</xdr:row>
      <xdr:rowOff>39191</xdr:rowOff>
    </xdr:from>
    <xdr:to>
      <xdr:col>10</xdr:col>
      <xdr:colOff>0</xdr:colOff>
      <xdr:row>22</xdr:row>
      <xdr:rowOff>41848</xdr:rowOff>
    </xdr:to>
    <xdr:sp macro="" textlink="">
      <xdr:nvSpPr>
        <xdr:cNvPr id="4" name="Retângulo: Cantos Arredondados 3">
          <a:extLst>
            <a:ext uri="{FF2B5EF4-FFF2-40B4-BE49-F238E27FC236}">
              <a16:creationId xmlns:a16="http://schemas.microsoft.com/office/drawing/2014/main" id="{AFBAF647-A99C-4BE4-9F4F-E968FE8EC3B9}"/>
            </a:ext>
          </a:extLst>
        </xdr:cNvPr>
        <xdr:cNvSpPr/>
      </xdr:nvSpPr>
      <xdr:spPr>
        <a:xfrm>
          <a:off x="243840" y="1749992"/>
          <a:ext cx="4490917" cy="2527244"/>
        </a:xfrm>
        <a:prstGeom prst="roundRect">
          <a:avLst>
            <a:gd name="adj" fmla="val 6744"/>
          </a:avLst>
        </a:prstGeom>
        <a:solidFill>
          <a:srgbClr val="212C2E"/>
        </a:solidFill>
        <a:ln w="12700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900"/>
        </a:p>
      </xdr:txBody>
    </xdr:sp>
    <xdr:clientData/>
  </xdr:twoCellAnchor>
  <xdr:twoCellAnchor>
    <xdr:from>
      <xdr:col>16</xdr:col>
      <xdr:colOff>365641</xdr:colOff>
      <xdr:row>25</xdr:row>
      <xdr:rowOff>120748</xdr:rowOff>
    </xdr:from>
    <xdr:to>
      <xdr:col>25</xdr:col>
      <xdr:colOff>0</xdr:colOff>
      <xdr:row>37</xdr:row>
      <xdr:rowOff>59918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83A38D-A6F0-4BAE-92D9-69AF16942A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259976</xdr:colOff>
      <xdr:row>23</xdr:row>
      <xdr:rowOff>91440</xdr:rowOff>
    </xdr:from>
    <xdr:to>
      <xdr:col>9</xdr:col>
      <xdr:colOff>313765</xdr:colOff>
      <xdr:row>36</xdr:row>
      <xdr:rowOff>160020</xdr:rowOff>
    </xdr:to>
    <xdr:sp macro="" textlink="">
      <xdr:nvSpPr>
        <xdr:cNvPr id="7" name="Retângulo: Cantos Arredondados 6">
          <a:extLst>
            <a:ext uri="{FF2B5EF4-FFF2-40B4-BE49-F238E27FC236}">
              <a16:creationId xmlns:a16="http://schemas.microsoft.com/office/drawing/2014/main" id="{829B6DCA-EDF3-40DF-994A-ACFEE59BE703}"/>
            </a:ext>
          </a:extLst>
        </xdr:cNvPr>
        <xdr:cNvSpPr/>
      </xdr:nvSpPr>
      <xdr:spPr>
        <a:xfrm>
          <a:off x="259976" y="4412428"/>
          <a:ext cx="4320989" cy="2399404"/>
        </a:xfrm>
        <a:prstGeom prst="roundRect">
          <a:avLst>
            <a:gd name="adj" fmla="val 5479"/>
          </a:avLst>
        </a:prstGeom>
        <a:solidFill>
          <a:srgbClr val="212C2E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337457</xdr:colOff>
      <xdr:row>24</xdr:row>
      <xdr:rowOff>119742</xdr:rowOff>
    </xdr:from>
    <xdr:to>
      <xdr:col>9</xdr:col>
      <xdr:colOff>489856</xdr:colOff>
      <xdr:row>37</xdr:row>
      <xdr:rowOff>21772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C79C6B6-3BB7-489E-932E-8E93911BC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568619</xdr:colOff>
      <xdr:row>23</xdr:row>
      <xdr:rowOff>94130</xdr:rowOff>
    </xdr:from>
    <xdr:to>
      <xdr:col>19</xdr:col>
      <xdr:colOff>21771</xdr:colOff>
      <xdr:row>36</xdr:row>
      <xdr:rowOff>164506</xdr:rowOff>
    </xdr:to>
    <xdr:grpSp>
      <xdr:nvGrpSpPr>
        <xdr:cNvPr id="1086" name="Agrupar 1085">
          <a:extLst>
            <a:ext uri="{FF2B5EF4-FFF2-40B4-BE49-F238E27FC236}">
              <a16:creationId xmlns:a16="http://schemas.microsoft.com/office/drawing/2014/main" id="{7DE06FDA-CEAD-DACF-3D50-FCD7EC2A3738}"/>
            </a:ext>
          </a:extLst>
        </xdr:cNvPr>
        <xdr:cNvGrpSpPr/>
      </xdr:nvGrpSpPr>
      <xdr:grpSpPr>
        <a:xfrm>
          <a:off x="4735807" y="4428005"/>
          <a:ext cx="5406277" cy="2546876"/>
          <a:chOff x="5891152" y="4458144"/>
          <a:chExt cx="3681557" cy="2436739"/>
        </a:xfrm>
        <a:solidFill>
          <a:srgbClr val="212C2E"/>
        </a:solidFill>
        <a:effectLst/>
      </xdr:grpSpPr>
      <xdr:sp macro="" textlink="">
        <xdr:nvSpPr>
          <xdr:cNvPr id="6" name="Retângulo: Cantos Arredondados 5">
            <a:extLst>
              <a:ext uri="{FF2B5EF4-FFF2-40B4-BE49-F238E27FC236}">
                <a16:creationId xmlns:a16="http://schemas.microsoft.com/office/drawing/2014/main" id="{0B84404D-6709-458C-96B5-A8A2C8C4AEF8}"/>
              </a:ext>
            </a:extLst>
          </xdr:cNvPr>
          <xdr:cNvSpPr/>
        </xdr:nvSpPr>
        <xdr:spPr>
          <a:xfrm>
            <a:off x="5891152" y="4458144"/>
            <a:ext cx="3681557" cy="2436739"/>
          </a:xfrm>
          <a:prstGeom prst="roundRect">
            <a:avLst>
              <a:gd name="adj" fmla="val 5598"/>
            </a:avLst>
          </a:prstGeom>
          <a:grpFill/>
          <a:ln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pt-BR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  <mc:AlternateContent xmlns:mc="http://schemas.openxmlformats.org/markup-compatibility/2006">
        <mc:Choice xmlns:cx1="http://schemas.microsoft.com/office/drawing/2015/9/8/chartex" Requires="cx1">
          <xdr:graphicFrame macro="">
            <xdr:nvGraphicFramePr>
              <xdr:cNvPr id="11" name="Gráfico 10">
                <a:extLst>
                  <a:ext uri="{FF2B5EF4-FFF2-40B4-BE49-F238E27FC236}">
                    <a16:creationId xmlns:a16="http://schemas.microsoft.com/office/drawing/2014/main" id="{4BE9D369-12D5-42E6-9233-D35A371B0C8E}"/>
                  </a:ext>
                </a:extLst>
              </xdr:cNvPr>
              <xdr:cNvGraphicFramePr/>
            </xdr:nvGraphicFramePr>
            <xdr:xfrm>
              <a:off x="6030792" y="4895987"/>
              <a:ext cx="3456091" cy="1922084"/>
            </xdr:xfrm>
            <a:graphic>
              <a:graphicData uri="http://schemas.microsoft.com/office/drawing/2014/chartex">
                <cx:chart xmlns:cx="http://schemas.microsoft.com/office/drawing/2014/chartex" xmlns:r="http://schemas.openxmlformats.org/officeDocument/2006/relationships" r:id="rId3"/>
              </a:graphicData>
            </a:graphic>
          </xdr:graphicFrame>
        </mc:Choice>
        <mc:Fallback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6030792" y="4895987"/>
                <a:ext cx="3456091" cy="1922084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t-BR" sz="1100"/>
                  <a:t>Este gráfico não está disponível na sua versão de Excel.
Editar esta forma ou salvar esta pasta de trabalho em um formato de arquivo diferente quebrará o gráfico permanentemente.</a:t>
                </a:r>
              </a:p>
            </xdr:txBody>
          </xdr:sp>
        </mc:Fallback>
      </mc:AlternateContent>
    </xdr:grpSp>
    <xdr:clientData/>
  </xdr:twoCellAnchor>
  <xdr:twoCellAnchor>
    <xdr:from>
      <xdr:col>4</xdr:col>
      <xdr:colOff>289853</xdr:colOff>
      <xdr:row>23</xdr:row>
      <xdr:rowOff>133956</xdr:rowOff>
    </xdr:from>
    <xdr:to>
      <xdr:col>9</xdr:col>
      <xdr:colOff>352606</xdr:colOff>
      <xdr:row>26</xdr:row>
      <xdr:rowOff>14213</xdr:rowOff>
    </xdr:to>
    <xdr:sp macro="" textlink="$B$16">
      <xdr:nvSpPr>
        <xdr:cNvPr id="18" name="CaixaDeTexto 1">
          <a:extLst>
            <a:ext uri="{FF2B5EF4-FFF2-40B4-BE49-F238E27FC236}">
              <a16:creationId xmlns:a16="http://schemas.microsoft.com/office/drawing/2014/main" id="{9A07B9F5-96C8-43BB-B3D1-E04A64B7AA94}"/>
            </a:ext>
          </a:extLst>
        </xdr:cNvPr>
        <xdr:cNvSpPr txBox="1"/>
      </xdr:nvSpPr>
      <xdr:spPr>
        <a:xfrm>
          <a:off x="1509053" y="4538316"/>
          <a:ext cx="3110753" cy="428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400" b="0" i="0" u="none" strike="noStrike">
              <a:solidFill>
                <a:schemeClr val="bg1"/>
              </a:solidFill>
              <a:latin typeface="Montserrat" panose="00000500000000000000" pitchFamily="2" charset="0"/>
              <a:ea typeface="Calibri"/>
              <a:cs typeface="Calibri"/>
            </a:rPr>
            <a:t>Divisão de Receita</a:t>
          </a:r>
        </a:p>
        <a:p>
          <a:pPr marL="0" indent="0" algn="l"/>
          <a:endParaRPr lang="pt-BR" sz="1400" b="0" i="0" u="none" strike="noStrike">
            <a:solidFill>
              <a:schemeClr val="bg1"/>
            </a:solidFill>
            <a:latin typeface="Montserrat" panose="00000500000000000000" pitchFamily="2" charset="0"/>
            <a:ea typeface="Calibri"/>
            <a:cs typeface="Calibri"/>
          </a:endParaRPr>
        </a:p>
      </xdr:txBody>
    </xdr:sp>
    <xdr:clientData/>
  </xdr:twoCellAnchor>
  <xdr:twoCellAnchor>
    <xdr:from>
      <xdr:col>19</xdr:col>
      <xdr:colOff>589882</xdr:colOff>
      <xdr:row>23</xdr:row>
      <xdr:rowOff>145548</xdr:rowOff>
    </xdr:from>
    <xdr:to>
      <xdr:col>24</xdr:col>
      <xdr:colOff>149433</xdr:colOff>
      <xdr:row>25</xdr:row>
      <xdr:rowOff>174172</xdr:rowOff>
    </xdr:to>
    <xdr:sp macro="" textlink="B26">
      <xdr:nvSpPr>
        <xdr:cNvPr id="20" name="CaixaDeTexto 1">
          <a:extLst>
            <a:ext uri="{FF2B5EF4-FFF2-40B4-BE49-F238E27FC236}">
              <a16:creationId xmlns:a16="http://schemas.microsoft.com/office/drawing/2014/main" id="{532972BC-2008-4197-8169-054BF69AC057}"/>
            </a:ext>
          </a:extLst>
        </xdr:cNvPr>
        <xdr:cNvSpPr txBox="1"/>
      </xdr:nvSpPr>
      <xdr:spPr>
        <a:xfrm>
          <a:off x="10953082" y="4597805"/>
          <a:ext cx="2607551" cy="3987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400" b="0" i="0" u="none" strike="noStrike">
              <a:solidFill>
                <a:schemeClr val="bg1"/>
              </a:solidFill>
              <a:latin typeface="Montserrat" panose="00000500000000000000" pitchFamily="2" charset="0"/>
              <a:ea typeface="Calibri"/>
              <a:cs typeface="Calibri"/>
            </a:rPr>
            <a:t>Despesas</a:t>
          </a:r>
          <a:r>
            <a:rPr lang="en-US" sz="1400" b="0" i="0" u="none" strike="noStrike" baseline="0">
              <a:solidFill>
                <a:schemeClr val="bg1"/>
              </a:solidFill>
              <a:latin typeface="Montserrat" panose="00000500000000000000" pitchFamily="2" charset="0"/>
              <a:ea typeface="Calibri"/>
              <a:cs typeface="Calibri"/>
            </a:rPr>
            <a:t> Fixas x Variáveis</a:t>
          </a:r>
          <a:endParaRPr lang="pt-BR" sz="1400" b="0" i="0" u="none" strike="noStrike">
            <a:solidFill>
              <a:schemeClr val="bg1"/>
            </a:solidFill>
            <a:latin typeface="Montserrat" panose="00000500000000000000" pitchFamily="2" charset="0"/>
            <a:ea typeface="Calibri"/>
            <a:cs typeface="Calibri"/>
          </a:endParaRPr>
        </a:p>
      </xdr:txBody>
    </xdr:sp>
    <xdr:clientData/>
  </xdr:twoCellAnchor>
  <xdr:twoCellAnchor>
    <xdr:from>
      <xdr:col>2</xdr:col>
      <xdr:colOff>331694</xdr:colOff>
      <xdr:row>10</xdr:row>
      <xdr:rowOff>71721</xdr:rowOff>
    </xdr:from>
    <xdr:to>
      <xdr:col>13</xdr:col>
      <xdr:colOff>221941</xdr:colOff>
      <xdr:row>21</xdr:row>
      <xdr:rowOff>103572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E574ADE5-023B-4BB2-B031-45E2409971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10886</xdr:colOff>
      <xdr:row>4</xdr:row>
      <xdr:rowOff>0</xdr:rowOff>
    </xdr:from>
    <xdr:to>
      <xdr:col>3</xdr:col>
      <xdr:colOff>566058</xdr:colOff>
      <xdr:row>4</xdr:row>
      <xdr:rowOff>117763</xdr:rowOff>
    </xdr:to>
    <xdr:sp macro="" textlink="D6">
      <xdr:nvSpPr>
        <xdr:cNvPr id="31" name="CaixaDeTexto 30">
          <a:extLst>
            <a:ext uri="{FF2B5EF4-FFF2-40B4-BE49-F238E27FC236}">
              <a16:creationId xmlns:a16="http://schemas.microsoft.com/office/drawing/2014/main" id="{12ED23FA-3247-4528-9CAC-B7EF78BCF72B}"/>
            </a:ext>
          </a:extLst>
        </xdr:cNvPr>
        <xdr:cNvSpPr txBox="1"/>
      </xdr:nvSpPr>
      <xdr:spPr>
        <a:xfrm>
          <a:off x="751115" y="555171"/>
          <a:ext cx="555172" cy="3028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fld id="{6BEB8842-3A8F-45EB-ADA7-2127E0C036E2}" type="TxLink">
            <a:rPr lang="en-US" sz="1200" b="1" i="0" u="none" strike="noStrike">
              <a:solidFill>
                <a:sysClr val="windowText" lastClr="000000"/>
              </a:solidFill>
              <a:latin typeface="Montserrat" panose="00000500000000000000" pitchFamily="2" charset="0"/>
              <a:ea typeface="Calibri"/>
              <a:cs typeface="Calibri"/>
            </a:rPr>
            <a:pPr algn="l"/>
            <a:t> </a:t>
          </a:fld>
          <a:endParaRPr lang="en-US" sz="1050" b="1" i="0" u="none" strike="noStrike">
            <a:solidFill>
              <a:sysClr val="windowText" lastClr="000000"/>
            </a:solidFill>
            <a:latin typeface="Montserrat" panose="00000500000000000000" pitchFamily="2" charset="0"/>
            <a:ea typeface="Calibri"/>
            <a:cs typeface="Calibri"/>
          </a:endParaRPr>
        </a:p>
      </xdr:txBody>
    </xdr:sp>
    <xdr:clientData/>
  </xdr:twoCellAnchor>
  <xdr:twoCellAnchor>
    <xdr:from>
      <xdr:col>3</xdr:col>
      <xdr:colOff>0</xdr:colOff>
      <xdr:row>6</xdr:row>
      <xdr:rowOff>8905</xdr:rowOff>
    </xdr:from>
    <xdr:to>
      <xdr:col>3</xdr:col>
      <xdr:colOff>555171</xdr:colOff>
      <xdr:row>7</xdr:row>
      <xdr:rowOff>87085</xdr:rowOff>
    </xdr:to>
    <xdr:sp macro="" textlink="D8">
      <xdr:nvSpPr>
        <xdr:cNvPr id="32" name="CaixaDeTexto 31">
          <a:extLst>
            <a:ext uri="{FF2B5EF4-FFF2-40B4-BE49-F238E27FC236}">
              <a16:creationId xmlns:a16="http://schemas.microsoft.com/office/drawing/2014/main" id="{12969897-2605-4459-9738-4D01ACAD83B7}"/>
            </a:ext>
          </a:extLst>
        </xdr:cNvPr>
        <xdr:cNvSpPr txBox="1"/>
      </xdr:nvSpPr>
      <xdr:spPr>
        <a:xfrm>
          <a:off x="740229" y="1119248"/>
          <a:ext cx="555171" cy="263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fld id="{7A900BEF-5B18-4070-A91E-45A09E81FAEB}" type="TxLink">
            <a:rPr lang="en-US" sz="1200" b="1" i="0" u="none" strike="noStrike">
              <a:solidFill>
                <a:sysClr val="windowText" lastClr="000000"/>
              </a:solidFill>
              <a:latin typeface="Montserrat" panose="00000500000000000000" pitchFamily="2" charset="0"/>
              <a:ea typeface="Calibri"/>
              <a:cs typeface="Calibri"/>
            </a:rPr>
            <a:pPr marL="0" indent="0" algn="l"/>
            <a:t> </a:t>
          </a:fld>
          <a:endParaRPr lang="en-US" sz="1200" b="1" i="0" u="none" strike="noStrike">
            <a:solidFill>
              <a:sysClr val="windowText" lastClr="000000"/>
            </a:solidFill>
            <a:latin typeface="Montserrat" panose="00000500000000000000" pitchFamily="2" charset="0"/>
            <a:ea typeface="Calibri"/>
            <a:cs typeface="Calibri"/>
          </a:endParaRPr>
        </a:p>
      </xdr:txBody>
    </xdr:sp>
    <xdr:clientData/>
  </xdr:twoCellAnchor>
  <xdr:twoCellAnchor>
    <xdr:from>
      <xdr:col>2</xdr:col>
      <xdr:colOff>323745</xdr:colOff>
      <xdr:row>4</xdr:row>
      <xdr:rowOff>162485</xdr:rowOff>
    </xdr:from>
    <xdr:to>
      <xdr:col>5</xdr:col>
      <xdr:colOff>355914</xdr:colOff>
      <xdr:row>8</xdr:row>
      <xdr:rowOff>4445</xdr:rowOff>
    </xdr:to>
    <xdr:grpSp>
      <xdr:nvGrpSpPr>
        <xdr:cNvPr id="48" name="Agrupar 47">
          <a:extLst>
            <a:ext uri="{FF2B5EF4-FFF2-40B4-BE49-F238E27FC236}">
              <a16:creationId xmlns:a16="http://schemas.microsoft.com/office/drawing/2014/main" id="{005FA627-B575-D537-9E6A-0BEA42B903F0}"/>
            </a:ext>
          </a:extLst>
        </xdr:cNvPr>
        <xdr:cNvGrpSpPr/>
      </xdr:nvGrpSpPr>
      <xdr:grpSpPr>
        <a:xfrm>
          <a:off x="323745" y="876860"/>
          <a:ext cx="1818107" cy="603960"/>
          <a:chOff x="1712155" y="895798"/>
          <a:chExt cx="1860970" cy="566155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7" name="Drop Down 3" hidden="1">
                <a:extLst>
                  <a:ext uri="{63B3BB69-23CF-44E3-9099-C40C66FF867C}">
                    <a14:compatExt spid="_x0000_s1027"/>
                  </a:ext>
                  <a:ext uri="{FF2B5EF4-FFF2-40B4-BE49-F238E27FC236}">
                    <a16:creationId xmlns:a16="http://schemas.microsoft.com/office/drawing/2014/main" id="{00000000-0008-0000-0600-000003040000}"/>
                  </a:ext>
                </a:extLst>
              </xdr:cNvPr>
              <xdr:cNvSpPr/>
            </xdr:nvSpPr>
            <xdr:spPr bwMode="auto">
              <a:xfrm>
                <a:off x="2207080" y="1218657"/>
                <a:ext cx="1365365" cy="243296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028" name="Drop Down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id="{00000000-0008-0000-0600-000004040000}"/>
                  </a:ext>
                </a:extLst>
              </xdr:cNvPr>
              <xdr:cNvSpPr/>
            </xdr:nvSpPr>
            <xdr:spPr bwMode="auto">
              <a:xfrm>
                <a:off x="2192519" y="915759"/>
                <a:ext cx="1380606" cy="254998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xdr:sp macro="" textlink="B6">
        <xdr:nvSpPr>
          <xdr:cNvPr id="45" name="CaixaDeTexto 44">
            <a:extLst>
              <a:ext uri="{FF2B5EF4-FFF2-40B4-BE49-F238E27FC236}">
                <a16:creationId xmlns:a16="http://schemas.microsoft.com/office/drawing/2014/main" id="{74648AC2-620C-4DA8-8B99-531C0F196EA9}"/>
              </a:ext>
            </a:extLst>
          </xdr:cNvPr>
          <xdr:cNvSpPr txBox="1"/>
        </xdr:nvSpPr>
        <xdr:spPr>
          <a:xfrm>
            <a:off x="1717902" y="895798"/>
            <a:ext cx="555172" cy="30355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800" b="0" i="0" u="none" strike="noStrike">
                <a:solidFill>
                  <a:schemeClr val="bg1"/>
                </a:solidFill>
                <a:latin typeface="Montserrat" panose="00000500000000000000" pitchFamily="2" charset="0"/>
                <a:ea typeface="Calibri"/>
                <a:cs typeface="Calibri"/>
              </a:rPr>
              <a:t>Ano</a:t>
            </a:r>
          </a:p>
          <a:p>
            <a:pPr algn="ctr"/>
            <a:endParaRPr lang="en-US" sz="700" b="0" i="0" u="none" strike="noStrike">
              <a:solidFill>
                <a:schemeClr val="bg1"/>
              </a:solidFill>
              <a:latin typeface="Montserrat" panose="00000500000000000000" pitchFamily="2" charset="0"/>
              <a:ea typeface="Calibri"/>
              <a:cs typeface="Calibri"/>
            </a:endParaRPr>
          </a:p>
        </xdr:txBody>
      </xdr:sp>
      <xdr:sp macro="" textlink="B7">
        <xdr:nvSpPr>
          <xdr:cNvPr id="46" name="CaixaDeTexto 45">
            <a:extLst>
              <a:ext uri="{FF2B5EF4-FFF2-40B4-BE49-F238E27FC236}">
                <a16:creationId xmlns:a16="http://schemas.microsoft.com/office/drawing/2014/main" id="{CEC2E55F-2652-4BE9-97E0-3D99D6B2B626}"/>
              </a:ext>
            </a:extLst>
          </xdr:cNvPr>
          <xdr:cNvSpPr txBox="1"/>
        </xdr:nvSpPr>
        <xdr:spPr>
          <a:xfrm>
            <a:off x="1712155" y="1212188"/>
            <a:ext cx="555171" cy="2434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8CAED17F-F132-4F6F-AD90-0AA2FB9193C3}" type="TxLink">
              <a:rPr lang="en-US" sz="800" b="0" i="0" u="none" strike="noStrike">
                <a:solidFill>
                  <a:schemeClr val="bg1"/>
                </a:solidFill>
                <a:latin typeface="Montserrat" panose="00000500000000000000" pitchFamily="2" charset="0"/>
                <a:ea typeface="Calibri"/>
                <a:cs typeface="Calibri"/>
              </a:rPr>
              <a:pPr marL="0" indent="0" algn="ctr"/>
              <a:t>Mês</a:t>
            </a:fld>
            <a:endParaRPr lang="en-US" sz="900" b="0" i="0" u="none" strike="noStrike">
              <a:solidFill>
                <a:schemeClr val="bg1"/>
              </a:solidFill>
              <a:latin typeface="Montserrat" panose="00000500000000000000" pitchFamily="2" charset="0"/>
              <a:ea typeface="Calibri"/>
              <a:cs typeface="Calibri"/>
            </a:endParaRPr>
          </a:p>
        </xdr:txBody>
      </xdr:sp>
    </xdr:grpSp>
    <xdr:clientData/>
  </xdr:twoCellAnchor>
  <xdr:twoCellAnchor>
    <xdr:from>
      <xdr:col>15</xdr:col>
      <xdr:colOff>545368</xdr:colOff>
      <xdr:row>9</xdr:row>
      <xdr:rowOff>49098</xdr:rowOff>
    </xdr:from>
    <xdr:to>
      <xdr:col>24</xdr:col>
      <xdr:colOff>475130</xdr:colOff>
      <xdr:row>22</xdr:row>
      <xdr:rowOff>53160</xdr:rowOff>
    </xdr:to>
    <xdr:sp macro="" textlink="">
      <xdr:nvSpPr>
        <xdr:cNvPr id="1088" name="Retângulo: Cantos Arredondados 1087">
          <a:extLst>
            <a:ext uri="{FF2B5EF4-FFF2-40B4-BE49-F238E27FC236}">
              <a16:creationId xmlns:a16="http://schemas.microsoft.com/office/drawing/2014/main" id="{2ED6AE75-B637-4FEB-8858-353221614903}"/>
            </a:ext>
          </a:extLst>
        </xdr:cNvPr>
        <xdr:cNvSpPr/>
      </xdr:nvSpPr>
      <xdr:spPr>
        <a:xfrm>
          <a:off x="8470168" y="1910555"/>
          <a:ext cx="5416162" cy="2409805"/>
        </a:xfrm>
        <a:prstGeom prst="roundRect">
          <a:avLst>
            <a:gd name="adj" fmla="val 6744"/>
          </a:avLst>
        </a:prstGeom>
        <a:solidFill>
          <a:srgbClr val="212C2E"/>
        </a:solidFill>
        <a:ln w="12700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900"/>
        </a:p>
      </xdr:txBody>
    </xdr:sp>
    <xdr:clientData/>
  </xdr:twoCellAnchor>
  <xdr:twoCellAnchor>
    <xdr:from>
      <xdr:col>10</xdr:col>
      <xdr:colOff>217297</xdr:colOff>
      <xdr:row>9</xdr:row>
      <xdr:rowOff>43547</xdr:rowOff>
    </xdr:from>
    <xdr:to>
      <xdr:col>15</xdr:col>
      <xdr:colOff>316395</xdr:colOff>
      <xdr:row>22</xdr:row>
      <xdr:rowOff>47183</xdr:rowOff>
    </xdr:to>
    <xdr:sp macro="" textlink="">
      <xdr:nvSpPr>
        <xdr:cNvPr id="1115" name="Retângulo: Cantos Arredondados 1114">
          <a:extLst>
            <a:ext uri="{FF2B5EF4-FFF2-40B4-BE49-F238E27FC236}">
              <a16:creationId xmlns:a16="http://schemas.microsoft.com/office/drawing/2014/main" id="{1A3667C4-6275-4AEB-9826-6A58AFD62D49}"/>
            </a:ext>
          </a:extLst>
        </xdr:cNvPr>
        <xdr:cNvSpPr/>
      </xdr:nvSpPr>
      <xdr:spPr>
        <a:xfrm>
          <a:off x="5094097" y="1905004"/>
          <a:ext cx="3147098" cy="2409379"/>
        </a:xfrm>
        <a:prstGeom prst="roundRect">
          <a:avLst>
            <a:gd name="adj" fmla="val 6744"/>
          </a:avLst>
        </a:prstGeom>
        <a:solidFill>
          <a:srgbClr val="212C2E"/>
        </a:solidFill>
        <a:ln w="12700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900"/>
        </a:p>
      </xdr:txBody>
    </xdr:sp>
    <xdr:clientData/>
  </xdr:twoCellAnchor>
  <xdr:twoCellAnchor>
    <xdr:from>
      <xdr:col>10</xdr:col>
      <xdr:colOff>331013</xdr:colOff>
      <xdr:row>9</xdr:row>
      <xdr:rowOff>97999</xdr:rowOff>
    </xdr:from>
    <xdr:to>
      <xdr:col>15</xdr:col>
      <xdr:colOff>605898</xdr:colOff>
      <xdr:row>13</xdr:row>
      <xdr:rowOff>136392</xdr:rowOff>
    </xdr:to>
    <xdr:sp macro="" textlink="">
      <xdr:nvSpPr>
        <xdr:cNvPr id="1131" name="CaixaDeTexto 1130">
          <a:extLst>
            <a:ext uri="{FF2B5EF4-FFF2-40B4-BE49-F238E27FC236}">
              <a16:creationId xmlns:a16="http://schemas.microsoft.com/office/drawing/2014/main" id="{C2D51BF7-1B23-42D1-AF2B-52A996793123}"/>
            </a:ext>
          </a:extLst>
        </xdr:cNvPr>
        <xdr:cNvSpPr txBox="1"/>
      </xdr:nvSpPr>
      <xdr:spPr>
        <a:xfrm>
          <a:off x="5207813" y="1959456"/>
          <a:ext cx="3322885" cy="7786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lang="en-US" sz="1400" b="0" i="0" u="none" strike="noStrike">
              <a:solidFill>
                <a:schemeClr val="bg1"/>
              </a:solidFill>
              <a:latin typeface="Montserrat" panose="00000500000000000000" pitchFamily="2" charset="0"/>
              <a:ea typeface="Calibri"/>
              <a:cs typeface="Calibri"/>
            </a:rPr>
            <a:t>Porcentagem da Renda Gasta</a:t>
          </a:r>
        </a:p>
      </xdr:txBody>
    </xdr:sp>
    <xdr:clientData/>
  </xdr:twoCellAnchor>
  <xdr:twoCellAnchor>
    <xdr:from>
      <xdr:col>12</xdr:col>
      <xdr:colOff>312990</xdr:colOff>
      <xdr:row>23</xdr:row>
      <xdr:rowOff>136472</xdr:rowOff>
    </xdr:from>
    <xdr:to>
      <xdr:col>18</xdr:col>
      <xdr:colOff>330919</xdr:colOff>
      <xdr:row>25</xdr:row>
      <xdr:rowOff>103174</xdr:rowOff>
    </xdr:to>
    <xdr:sp macro="" textlink="$B$24">
      <xdr:nvSpPr>
        <xdr:cNvPr id="1155" name="CaixaDeTexto 1">
          <a:extLst>
            <a:ext uri="{FF2B5EF4-FFF2-40B4-BE49-F238E27FC236}">
              <a16:creationId xmlns:a16="http://schemas.microsoft.com/office/drawing/2014/main" id="{F1325362-5C26-4E77-A415-7F2D866546E2}"/>
            </a:ext>
          </a:extLst>
        </xdr:cNvPr>
        <xdr:cNvSpPr txBox="1"/>
      </xdr:nvSpPr>
      <xdr:spPr>
        <a:xfrm>
          <a:off x="6408990" y="4260237"/>
          <a:ext cx="3675529" cy="3252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en-US" sz="1400" b="0" i="0" u="none" strike="noStrike">
              <a:solidFill>
                <a:schemeClr val="bg1"/>
              </a:solidFill>
              <a:latin typeface="Montserrat" panose="00000500000000000000" pitchFamily="2" charset="0"/>
              <a:ea typeface="Calibri"/>
              <a:cs typeface="Calibri"/>
            </a:rPr>
            <a:t>Divisão de Investimentos</a:t>
          </a:r>
          <a:endParaRPr lang="pt-BR" sz="1400" b="0" i="0" u="none" strike="noStrike">
            <a:solidFill>
              <a:schemeClr val="bg1"/>
            </a:solidFill>
            <a:latin typeface="Montserrat" panose="00000500000000000000" pitchFamily="2" charset="0"/>
            <a:ea typeface="Calibri"/>
            <a:cs typeface="Calibri"/>
          </a:endParaRPr>
        </a:p>
      </xdr:txBody>
    </xdr:sp>
    <xdr:clientData/>
  </xdr:twoCellAnchor>
  <xdr:twoCellAnchor>
    <xdr:from>
      <xdr:col>18</xdr:col>
      <xdr:colOff>534950</xdr:colOff>
      <xdr:row>9</xdr:row>
      <xdr:rowOff>106193</xdr:rowOff>
    </xdr:from>
    <xdr:to>
      <xdr:col>22</xdr:col>
      <xdr:colOff>463821</xdr:colOff>
      <xdr:row>11</xdr:row>
      <xdr:rowOff>161581</xdr:rowOff>
    </xdr:to>
    <xdr:sp macro="" textlink="B25">
      <xdr:nvSpPr>
        <xdr:cNvPr id="15" name="CaixaDeTexto 1">
          <a:extLst>
            <a:ext uri="{FF2B5EF4-FFF2-40B4-BE49-F238E27FC236}">
              <a16:creationId xmlns:a16="http://schemas.microsoft.com/office/drawing/2014/main" id="{53F06686-461B-1161-098D-3691D0D16BCC}"/>
            </a:ext>
          </a:extLst>
        </xdr:cNvPr>
        <xdr:cNvSpPr txBox="1"/>
      </xdr:nvSpPr>
      <xdr:spPr>
        <a:xfrm>
          <a:off x="10288550" y="1967650"/>
          <a:ext cx="2367271" cy="4255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0" indent="0" algn="l"/>
          <a:r>
            <a:rPr lang="pt-BR" sz="1400" b="0" i="0" u="none" strike="noStrike">
              <a:solidFill>
                <a:schemeClr val="bg1"/>
              </a:solidFill>
              <a:latin typeface="Montserrat" panose="00000500000000000000" pitchFamily="2" charset="0"/>
              <a:ea typeface="Calibri"/>
              <a:cs typeface="Calibri"/>
            </a:rPr>
            <a:t>Divisão de Gastos</a:t>
          </a:r>
        </a:p>
      </xdr:txBody>
    </xdr:sp>
    <xdr:clientData/>
  </xdr:twoCellAnchor>
  <xdr:twoCellAnchor>
    <xdr:from>
      <xdr:col>16</xdr:col>
      <xdr:colOff>38412</xdr:colOff>
      <xdr:row>10</xdr:row>
      <xdr:rowOff>147918</xdr:rowOff>
    </xdr:from>
    <xdr:to>
      <xdr:col>24</xdr:col>
      <xdr:colOff>350520</xdr:colOff>
      <xdr:row>22</xdr:row>
      <xdr:rowOff>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F42C767-CBAE-0B37-1CE2-881E284E95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560990</xdr:colOff>
      <xdr:row>24</xdr:row>
      <xdr:rowOff>60433</xdr:rowOff>
    </xdr:from>
    <xdr:to>
      <xdr:col>24</xdr:col>
      <xdr:colOff>370491</xdr:colOff>
      <xdr:row>37</xdr:row>
      <xdr:rowOff>82206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65BF2B41-5D93-B61E-6EB1-58422361A9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176212</xdr:colOff>
      <xdr:row>11</xdr:row>
      <xdr:rowOff>61913</xdr:rowOff>
    </xdr:from>
    <xdr:to>
      <xdr:col>17</xdr:col>
      <xdr:colOff>266700</xdr:colOff>
      <xdr:row>26</xdr:row>
      <xdr:rowOff>132352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D7005249-7CD5-4472-9F0D-D4121B35F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70428</xdr:colOff>
      <xdr:row>4</xdr:row>
      <xdr:rowOff>129374</xdr:rowOff>
    </xdr:from>
    <xdr:to>
      <xdr:col>9</xdr:col>
      <xdr:colOff>300828</xdr:colOff>
      <xdr:row>8</xdr:row>
      <xdr:rowOff>19145</xdr:rowOff>
    </xdr:to>
    <xdr:grpSp>
      <xdr:nvGrpSpPr>
        <xdr:cNvPr id="21" name="Agrupar 20">
          <a:extLst>
            <a:ext uri="{FF2B5EF4-FFF2-40B4-BE49-F238E27FC236}">
              <a16:creationId xmlns:a16="http://schemas.microsoft.com/office/drawing/2014/main" id="{D23B35A3-7E13-D081-E14A-9EB8144E406E}"/>
            </a:ext>
          </a:extLst>
        </xdr:cNvPr>
        <xdr:cNvGrpSpPr/>
      </xdr:nvGrpSpPr>
      <xdr:grpSpPr>
        <a:xfrm>
          <a:off x="2451678" y="843749"/>
          <a:ext cx="2016338" cy="651771"/>
          <a:chOff x="5328226" y="1121229"/>
          <a:chExt cx="2059200" cy="630000"/>
        </a:xfrm>
        <a:solidFill>
          <a:srgbClr val="212C2E"/>
        </a:solidFill>
        <a:effectLst/>
      </xdr:grpSpPr>
      <xdr:grpSp>
        <xdr:nvGrpSpPr>
          <xdr:cNvPr id="19" name="Agrupar 18">
            <a:extLst>
              <a:ext uri="{FF2B5EF4-FFF2-40B4-BE49-F238E27FC236}">
                <a16:creationId xmlns:a16="http://schemas.microsoft.com/office/drawing/2014/main" id="{A75C7FCE-5F2C-8B4A-19F8-948C7991BA21}"/>
              </a:ext>
            </a:extLst>
          </xdr:cNvPr>
          <xdr:cNvGrpSpPr/>
        </xdr:nvGrpSpPr>
        <xdr:grpSpPr>
          <a:xfrm>
            <a:off x="5328226" y="1121229"/>
            <a:ext cx="2059200" cy="630000"/>
            <a:chOff x="5328226" y="1121229"/>
            <a:chExt cx="2059200" cy="630000"/>
          </a:xfrm>
          <a:grpFill/>
        </xdr:grpSpPr>
        <xdr:sp macro="" textlink="">
          <xdr:nvSpPr>
            <xdr:cNvPr id="13" name="Retângulo: Cantos Arredondados 12">
              <a:extLst>
                <a:ext uri="{FF2B5EF4-FFF2-40B4-BE49-F238E27FC236}">
                  <a16:creationId xmlns:a16="http://schemas.microsoft.com/office/drawing/2014/main" id="{4AD14019-4351-4642-A248-776DF3E854B5}"/>
                </a:ext>
              </a:extLst>
            </xdr:cNvPr>
            <xdr:cNvSpPr/>
          </xdr:nvSpPr>
          <xdr:spPr>
            <a:xfrm>
              <a:off x="5328226" y="1121229"/>
              <a:ext cx="2059200" cy="630000"/>
            </a:xfrm>
            <a:prstGeom prst="roundRect">
              <a:avLst>
                <a:gd name="adj" fmla="val 16455"/>
              </a:avLst>
            </a:prstGeom>
            <a:grpFill/>
            <a:ln w="12700">
              <a:noFill/>
            </a:ln>
            <a:effectLst/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pt-BR" sz="900">
                <a:solidFill>
                  <a:schemeClr val="bg1"/>
                </a:solidFill>
              </a:endParaRPr>
            </a:p>
          </xdr:txBody>
        </xdr:sp>
        <xdr:sp macro="" textlink="">
          <xdr:nvSpPr>
            <xdr:cNvPr id="14" name="CaixaDeTexto 13">
              <a:extLst>
                <a:ext uri="{FF2B5EF4-FFF2-40B4-BE49-F238E27FC236}">
                  <a16:creationId xmlns:a16="http://schemas.microsoft.com/office/drawing/2014/main" id="{66670EAF-901B-4140-BDA8-6C41163AFE84}"/>
                </a:ext>
              </a:extLst>
            </xdr:cNvPr>
            <xdr:cNvSpPr txBox="1"/>
          </xdr:nvSpPr>
          <xdr:spPr>
            <a:xfrm>
              <a:off x="5527187" y="1173294"/>
              <a:ext cx="1677360" cy="180183"/>
            </a:xfrm>
            <a:prstGeom prst="rect">
              <a:avLst/>
            </a:prstGeom>
            <a:grpFill/>
            <a:ln w="9525" cmpd="sng">
              <a:noFill/>
            </a:ln>
            <a:effectLst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marL="0" indent="0" algn="ctr"/>
              <a:r>
                <a:rPr lang="pt-BR" sz="1400" b="0" i="0" u="none" strike="noStrike">
                  <a:solidFill>
                    <a:schemeClr val="bg1"/>
                  </a:solidFill>
                  <a:latin typeface="Montserrat" panose="00000500000000000000" pitchFamily="2" charset="0"/>
                  <a:ea typeface="Calibri"/>
                  <a:cs typeface="Calibri"/>
                </a:rPr>
                <a:t>Saldo em Conta </a:t>
              </a:r>
            </a:p>
          </xdr:txBody>
        </xdr:sp>
        <xdr:sp macro="" textlink="Auxiliar!G4">
          <xdr:nvSpPr>
            <xdr:cNvPr id="16" name="CaixaDeTexto 15">
              <a:extLst>
                <a:ext uri="{FF2B5EF4-FFF2-40B4-BE49-F238E27FC236}">
                  <a16:creationId xmlns:a16="http://schemas.microsoft.com/office/drawing/2014/main" id="{3699367B-88D6-41B7-9DE4-BDFCDCDE5B84}"/>
                </a:ext>
              </a:extLst>
            </xdr:cNvPr>
            <xdr:cNvSpPr txBox="1"/>
          </xdr:nvSpPr>
          <xdr:spPr>
            <a:xfrm>
              <a:off x="5461954" y="1443586"/>
              <a:ext cx="1761866" cy="210695"/>
            </a:xfrm>
            <a:prstGeom prst="rect">
              <a:avLst/>
            </a:prstGeom>
            <a:grpFill/>
            <a:ln w="9525" cmpd="sng">
              <a:noFill/>
            </a:ln>
            <a:effectLst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fld id="{155A1125-8D92-4E97-8361-13900A116A88}" type="TxLink">
                <a:rPr lang="en-US" sz="1600" b="0" i="0" u="none" strike="noStrike">
                  <a:solidFill>
                    <a:schemeClr val="bg1">
                      <a:lumMod val="75000"/>
                    </a:schemeClr>
                  </a:solidFill>
                  <a:latin typeface="Montserrat" panose="00000500000000000000" pitchFamily="2" charset="0"/>
                  <a:ea typeface="Calibri"/>
                  <a:cs typeface="Calibri"/>
                </a:rPr>
                <a:pPr algn="ctr"/>
                <a:t> R$ 42.783 </a:t>
              </a:fld>
              <a:endParaRPr lang="pt-BR" sz="1600" b="0">
                <a:solidFill>
                  <a:schemeClr val="bg1">
                    <a:lumMod val="75000"/>
                  </a:schemeClr>
                </a:solidFill>
                <a:latin typeface="Montserrat" panose="00000500000000000000" pitchFamily="2" charset="0"/>
              </a:endParaRPr>
            </a:p>
          </xdr:txBody>
        </xdr:sp>
      </xdr:grpSp>
      <xdr:pic>
        <xdr:nvPicPr>
          <xdr:cNvPr id="17" name="Gráfico 16" descr="Carteira com preenchimento sólido">
            <a:extLst>
              <a:ext uri="{FF2B5EF4-FFF2-40B4-BE49-F238E27FC236}">
                <a16:creationId xmlns:a16="http://schemas.microsoft.com/office/drawing/2014/main" id="{49FE230F-59C0-4898-9E22-85E0F259276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96DAC541-7B7A-43D3-8B79-37D633B846F1}">
                <asvg:svgBlip xmlns:asvg="http://schemas.microsoft.com/office/drawing/2016/SVG/main" r:embed="rId9"/>
              </a:ext>
            </a:extLst>
          </a:blip>
          <a:stretch>
            <a:fillRect/>
          </a:stretch>
        </xdr:blipFill>
        <xdr:spPr>
          <a:xfrm>
            <a:off x="5355312" y="1378335"/>
            <a:ext cx="343809" cy="356367"/>
          </a:xfrm>
          <a:prstGeom prst="rect">
            <a:avLst/>
          </a:prstGeom>
          <a:effectLst/>
        </xdr:spPr>
      </xdr:pic>
    </xdr:grpSp>
    <xdr:clientData/>
  </xdr:twoCellAnchor>
  <xdr:twoCellAnchor>
    <xdr:from>
      <xdr:col>21</xdr:col>
      <xdr:colOff>227308</xdr:colOff>
      <xdr:row>4</xdr:row>
      <xdr:rowOff>103093</xdr:rowOff>
    </xdr:from>
    <xdr:to>
      <xdr:col>24</xdr:col>
      <xdr:colOff>457708</xdr:colOff>
      <xdr:row>7</xdr:row>
      <xdr:rowOff>177921</xdr:rowOff>
    </xdr:to>
    <xdr:grpSp>
      <xdr:nvGrpSpPr>
        <xdr:cNvPr id="47" name="Agrupar 46">
          <a:extLst>
            <a:ext uri="{FF2B5EF4-FFF2-40B4-BE49-F238E27FC236}">
              <a16:creationId xmlns:a16="http://schemas.microsoft.com/office/drawing/2014/main" id="{62D50757-808B-29A9-532D-95D92F14505E}"/>
            </a:ext>
          </a:extLst>
        </xdr:cNvPr>
        <xdr:cNvGrpSpPr/>
      </xdr:nvGrpSpPr>
      <xdr:grpSpPr>
        <a:xfrm>
          <a:off x="11538246" y="817468"/>
          <a:ext cx="2016337" cy="646328"/>
          <a:chOff x="12667759" y="1712259"/>
          <a:chExt cx="2059200" cy="748800"/>
        </a:xfrm>
        <a:solidFill>
          <a:srgbClr val="212C2E"/>
        </a:solidFill>
        <a:effectLst/>
      </xdr:grpSpPr>
      <xdr:sp macro="" textlink="">
        <xdr:nvSpPr>
          <xdr:cNvPr id="1053" name="Retângulo: Cantos Arredondados 1052">
            <a:extLst>
              <a:ext uri="{FF2B5EF4-FFF2-40B4-BE49-F238E27FC236}">
                <a16:creationId xmlns:a16="http://schemas.microsoft.com/office/drawing/2014/main" id="{88DA0904-D4A7-493E-9026-EF541DE8273D}"/>
              </a:ext>
            </a:extLst>
          </xdr:cNvPr>
          <xdr:cNvSpPr/>
        </xdr:nvSpPr>
        <xdr:spPr>
          <a:xfrm>
            <a:off x="12667759" y="1712259"/>
            <a:ext cx="2059200" cy="748800"/>
          </a:xfrm>
          <a:prstGeom prst="roundRect">
            <a:avLst>
              <a:gd name="adj" fmla="val 18206"/>
            </a:avLst>
          </a:prstGeom>
          <a:grpFill/>
          <a:ln w="12700"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900"/>
          </a:p>
        </xdr:txBody>
      </xdr:sp>
      <xdr:sp macro="" textlink="">
        <xdr:nvSpPr>
          <xdr:cNvPr id="1054" name="CaixaDeTexto 1053">
            <a:extLst>
              <a:ext uri="{FF2B5EF4-FFF2-40B4-BE49-F238E27FC236}">
                <a16:creationId xmlns:a16="http://schemas.microsoft.com/office/drawing/2014/main" id="{13C07CBD-4401-4BC4-8BC0-CC1AB77EA5BA}"/>
              </a:ext>
            </a:extLst>
          </xdr:cNvPr>
          <xdr:cNvSpPr txBox="1"/>
        </xdr:nvSpPr>
        <xdr:spPr>
          <a:xfrm>
            <a:off x="12866721" y="1783461"/>
            <a:ext cx="1677360" cy="180399"/>
          </a:xfrm>
          <a:prstGeom prst="rect">
            <a:avLst/>
          </a:prstGeom>
          <a:grpFill/>
          <a:ln w="9525" cmpd="sng">
            <a:noFill/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r>
              <a:rPr lang="pt-BR" sz="1400" b="0" i="0" u="none" strike="noStrike">
                <a:solidFill>
                  <a:schemeClr val="bg1"/>
                </a:solidFill>
                <a:latin typeface="Montserrat" panose="00000500000000000000" pitchFamily="2" charset="0"/>
                <a:ea typeface="Calibri"/>
                <a:cs typeface="Calibri"/>
              </a:rPr>
              <a:t>Valor Investido</a:t>
            </a:r>
          </a:p>
        </xdr:txBody>
      </xdr:sp>
      <xdr:sp macro="" textlink="Auxiliar!G3">
        <xdr:nvSpPr>
          <xdr:cNvPr id="1055" name="CaixaDeTexto 1054">
            <a:extLst>
              <a:ext uri="{FF2B5EF4-FFF2-40B4-BE49-F238E27FC236}">
                <a16:creationId xmlns:a16="http://schemas.microsoft.com/office/drawing/2014/main" id="{7CA98AD5-8025-4514-ABCB-199502C9E16D}"/>
              </a:ext>
            </a:extLst>
          </xdr:cNvPr>
          <xdr:cNvSpPr txBox="1"/>
        </xdr:nvSpPr>
        <xdr:spPr>
          <a:xfrm>
            <a:off x="12801488" y="2116209"/>
            <a:ext cx="1761866" cy="209970"/>
          </a:xfrm>
          <a:prstGeom prst="rect">
            <a:avLst/>
          </a:prstGeom>
          <a:grpFill/>
          <a:ln w="9525" cmpd="sng">
            <a:noFill/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D8711120-2381-4DD3-894B-394348C2D746}" type="TxLink">
              <a:rPr lang="en-US" sz="1600" b="0" i="0" u="none" strike="noStrike">
                <a:solidFill>
                  <a:schemeClr val="bg1">
                    <a:lumMod val="75000"/>
                  </a:schemeClr>
                </a:solidFill>
                <a:latin typeface="Montserrat" panose="00000500000000000000" pitchFamily="2" charset="0"/>
                <a:ea typeface="Calibri"/>
                <a:cs typeface="Calibri"/>
              </a:rPr>
              <a:pPr marL="0" indent="0" algn="ctr"/>
              <a:t> R$ 13.365 </a:t>
            </a:fld>
            <a:endParaRPr lang="pt-BR" sz="1600" b="0" i="0" u="none" strike="noStrike">
              <a:solidFill>
                <a:schemeClr val="bg1">
                  <a:lumMod val="75000"/>
                </a:schemeClr>
              </a:solidFill>
              <a:latin typeface="Montserrat" panose="00000500000000000000" pitchFamily="2" charset="0"/>
              <a:ea typeface="Calibri"/>
              <a:cs typeface="Calibri"/>
            </a:endParaRPr>
          </a:p>
        </xdr:txBody>
      </xdr:sp>
    </xdr:grpSp>
    <xdr:clientData/>
  </xdr:twoCellAnchor>
  <xdr:twoCellAnchor>
    <xdr:from>
      <xdr:col>16</xdr:col>
      <xdr:colOff>188220</xdr:colOff>
      <xdr:row>4</xdr:row>
      <xdr:rowOff>124864</xdr:rowOff>
    </xdr:from>
    <xdr:to>
      <xdr:col>19</xdr:col>
      <xdr:colOff>418620</xdr:colOff>
      <xdr:row>8</xdr:row>
      <xdr:rowOff>14635</xdr:rowOff>
    </xdr:to>
    <xdr:grpSp>
      <xdr:nvGrpSpPr>
        <xdr:cNvPr id="1062" name="Agrupar 1061">
          <a:extLst>
            <a:ext uri="{FF2B5EF4-FFF2-40B4-BE49-F238E27FC236}">
              <a16:creationId xmlns:a16="http://schemas.microsoft.com/office/drawing/2014/main" id="{4C9ABBCB-569F-8CC2-9753-E0C93010BFA2}"/>
            </a:ext>
          </a:extLst>
        </xdr:cNvPr>
        <xdr:cNvGrpSpPr/>
      </xdr:nvGrpSpPr>
      <xdr:grpSpPr>
        <a:xfrm>
          <a:off x="8522595" y="839239"/>
          <a:ext cx="2016338" cy="651771"/>
          <a:chOff x="9298310" y="1666795"/>
          <a:chExt cx="2059200" cy="725748"/>
        </a:xfrm>
        <a:solidFill>
          <a:srgbClr val="212C2E"/>
        </a:solidFill>
        <a:effectLst/>
      </xdr:grpSpPr>
      <xdr:sp macro="" textlink="">
        <xdr:nvSpPr>
          <xdr:cNvPr id="1049" name="Retângulo: Cantos Arredondados 1048">
            <a:extLst>
              <a:ext uri="{FF2B5EF4-FFF2-40B4-BE49-F238E27FC236}">
                <a16:creationId xmlns:a16="http://schemas.microsoft.com/office/drawing/2014/main" id="{D82397E6-B8B7-4356-B142-456CCED4AE41}"/>
              </a:ext>
            </a:extLst>
          </xdr:cNvPr>
          <xdr:cNvSpPr/>
        </xdr:nvSpPr>
        <xdr:spPr>
          <a:xfrm>
            <a:off x="9298310" y="1666795"/>
            <a:ext cx="2059200" cy="725748"/>
          </a:xfrm>
          <a:prstGeom prst="roundRect">
            <a:avLst>
              <a:gd name="adj" fmla="val 16487"/>
            </a:avLst>
          </a:prstGeom>
          <a:grpFill/>
          <a:ln w="12700">
            <a:noFill/>
          </a:ln>
          <a:effectLst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pt-BR" sz="900"/>
          </a:p>
        </xdr:txBody>
      </xdr:sp>
      <xdr:grpSp>
        <xdr:nvGrpSpPr>
          <xdr:cNvPr id="1061" name="Agrupar 1060">
            <a:extLst>
              <a:ext uri="{FF2B5EF4-FFF2-40B4-BE49-F238E27FC236}">
                <a16:creationId xmlns:a16="http://schemas.microsoft.com/office/drawing/2014/main" id="{5B8DDE4F-3B9E-69EE-AE33-4364C5BC4C3C}"/>
              </a:ext>
            </a:extLst>
          </xdr:cNvPr>
          <xdr:cNvGrpSpPr/>
        </xdr:nvGrpSpPr>
        <xdr:grpSpPr>
          <a:xfrm>
            <a:off x="9321374" y="1732225"/>
            <a:ext cx="1860557" cy="596157"/>
            <a:chOff x="9321374" y="1732225"/>
            <a:chExt cx="1860557" cy="596157"/>
          </a:xfrm>
          <a:grpFill/>
        </xdr:grpSpPr>
        <xdr:grpSp>
          <xdr:nvGrpSpPr>
            <xdr:cNvPr id="1025" name="Agrupar 1024">
              <a:extLst>
                <a:ext uri="{FF2B5EF4-FFF2-40B4-BE49-F238E27FC236}">
                  <a16:creationId xmlns:a16="http://schemas.microsoft.com/office/drawing/2014/main" id="{F0DB49E3-18D4-9CCA-3CF1-AD0EFF45D194}"/>
                </a:ext>
              </a:extLst>
            </xdr:cNvPr>
            <xdr:cNvGrpSpPr/>
          </xdr:nvGrpSpPr>
          <xdr:grpSpPr>
            <a:xfrm>
              <a:off x="9420065" y="1732225"/>
              <a:ext cx="1761866" cy="523792"/>
              <a:chOff x="9427749" y="1783461"/>
              <a:chExt cx="1761866" cy="540660"/>
            </a:xfrm>
            <a:grpFill/>
          </xdr:grpSpPr>
          <xdr:sp macro="" textlink="">
            <xdr:nvSpPr>
              <xdr:cNvPr id="1050" name="CaixaDeTexto 1049">
                <a:extLst>
                  <a:ext uri="{FF2B5EF4-FFF2-40B4-BE49-F238E27FC236}">
                    <a16:creationId xmlns:a16="http://schemas.microsoft.com/office/drawing/2014/main" id="{91455BCF-E2BC-43FE-BD40-966248228813}"/>
                  </a:ext>
                </a:extLst>
              </xdr:cNvPr>
              <xdr:cNvSpPr txBox="1"/>
            </xdr:nvSpPr>
            <xdr:spPr>
              <a:xfrm>
                <a:off x="9504956" y="1783461"/>
                <a:ext cx="1677360" cy="180399"/>
              </a:xfrm>
              <a:prstGeom prst="rect">
                <a:avLst/>
              </a:prstGeom>
              <a:grpFill/>
              <a:ln w="9525" cmpd="sng">
                <a:noFill/>
              </a:ln>
              <a:effectLst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marL="0" indent="0" algn="ctr"/>
                <a:r>
                  <a:rPr lang="pt-BR" sz="1400" b="0" i="0" u="none" strike="noStrike">
                    <a:solidFill>
                      <a:schemeClr val="bg1"/>
                    </a:solidFill>
                    <a:latin typeface="Montserrat" panose="00000500000000000000" pitchFamily="2" charset="0"/>
                    <a:ea typeface="Calibri"/>
                    <a:cs typeface="Calibri"/>
                  </a:rPr>
                  <a:t>Total Despesas</a:t>
                </a:r>
              </a:p>
            </xdr:txBody>
          </xdr:sp>
          <xdr:sp macro="" textlink="Auxiliar!G2">
            <xdr:nvSpPr>
              <xdr:cNvPr id="1051" name="CaixaDeTexto 1050">
                <a:extLst>
                  <a:ext uri="{FF2B5EF4-FFF2-40B4-BE49-F238E27FC236}">
                    <a16:creationId xmlns:a16="http://schemas.microsoft.com/office/drawing/2014/main" id="{B0B86457-A457-4664-AA49-453AAA617EAC}"/>
                  </a:ext>
                </a:extLst>
              </xdr:cNvPr>
              <xdr:cNvSpPr txBox="1"/>
            </xdr:nvSpPr>
            <xdr:spPr>
              <a:xfrm>
                <a:off x="9427749" y="2114149"/>
                <a:ext cx="1761866" cy="209972"/>
              </a:xfrm>
              <a:prstGeom prst="rect">
                <a:avLst/>
              </a:prstGeom>
              <a:grpFill/>
              <a:ln w="9525" cmpd="sng">
                <a:noFill/>
              </a:ln>
              <a:effectLst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marL="0" indent="0" algn="ctr"/>
                <a:fld id="{7FB27831-D116-4015-B3D1-E28D6F57B91A}" type="TxLink">
                  <a:rPr lang="en-US" sz="1600" b="0" i="0" u="none" strike="noStrike">
                    <a:solidFill>
                      <a:schemeClr val="bg1">
                        <a:lumMod val="75000"/>
                      </a:schemeClr>
                    </a:solidFill>
                    <a:latin typeface="Montserrat" panose="00000500000000000000" pitchFamily="2" charset="0"/>
                    <a:ea typeface="Calibri"/>
                    <a:cs typeface="Calibri"/>
                  </a:rPr>
                  <a:pPr marL="0" indent="0" algn="ctr"/>
                  <a:t> R$ 44.217 </a:t>
                </a:fld>
                <a:endParaRPr lang="pt-BR" sz="1600" b="0" i="0" u="none" strike="noStrike">
                  <a:solidFill>
                    <a:schemeClr val="bg1">
                      <a:lumMod val="75000"/>
                    </a:schemeClr>
                  </a:solidFill>
                  <a:latin typeface="Montserrat" panose="00000500000000000000" pitchFamily="2" charset="0"/>
                  <a:ea typeface="Calibri"/>
                  <a:cs typeface="Calibri"/>
                </a:endParaRPr>
              </a:p>
            </xdr:txBody>
          </xdr:sp>
        </xdr:grpSp>
        <xdr:grpSp>
          <xdr:nvGrpSpPr>
            <xdr:cNvPr id="1068" name="Agrupar 1067">
              <a:extLst>
                <a:ext uri="{FF2B5EF4-FFF2-40B4-BE49-F238E27FC236}">
                  <a16:creationId xmlns:a16="http://schemas.microsoft.com/office/drawing/2014/main" id="{1B230399-D361-93B5-CA2C-D1172EC0E381}"/>
                </a:ext>
              </a:extLst>
            </xdr:cNvPr>
            <xdr:cNvGrpSpPr/>
          </xdr:nvGrpSpPr>
          <xdr:grpSpPr>
            <a:xfrm>
              <a:off x="9321374" y="1982932"/>
              <a:ext cx="345600" cy="345450"/>
              <a:chOff x="-330542" y="160142"/>
              <a:chExt cx="398213" cy="402046"/>
            </a:xfrm>
            <a:grpFill/>
          </xdr:grpSpPr>
          <xdr:pic>
            <xdr:nvPicPr>
              <xdr:cNvPr id="1069" name="Gráfico 9243" descr="Saída com preenchimento sólido">
                <a:extLst>
                  <a:ext uri="{FF2B5EF4-FFF2-40B4-BE49-F238E27FC236}">
                    <a16:creationId xmlns:a16="http://schemas.microsoft.com/office/drawing/2014/main" id="{39BB5FDF-0E97-3A69-3D87-2C3F41CA77D4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0">
                <a:extLst>
                  <a:ext uri="{96DAC541-7B7A-43D3-8B79-37D633B846F1}">
                    <asvg:svgBlip xmlns:asvg="http://schemas.microsoft.com/office/drawing/2016/SVG/main" r:embed="rId11"/>
                  </a:ext>
                </a:extLst>
              </a:blip>
              <a:stretch>
                <a:fillRect/>
              </a:stretch>
            </xdr:blipFill>
            <xdr:spPr>
              <a:xfrm>
                <a:off x="-330542" y="160142"/>
                <a:ext cx="398213" cy="402046"/>
              </a:xfrm>
              <a:prstGeom prst="rect">
                <a:avLst/>
              </a:prstGeom>
              <a:effectLst/>
            </xdr:spPr>
          </xdr:pic>
        </xdr:grpSp>
      </xdr:grpSp>
    </xdr:grpSp>
    <xdr:clientData/>
  </xdr:twoCellAnchor>
  <xdr:twoCellAnchor>
    <xdr:from>
      <xdr:col>21</xdr:col>
      <xdr:colOff>277904</xdr:colOff>
      <xdr:row>5</xdr:row>
      <xdr:rowOff>165470</xdr:rowOff>
    </xdr:from>
    <xdr:to>
      <xdr:col>22</xdr:col>
      <xdr:colOff>29935</xdr:colOff>
      <xdr:row>7</xdr:row>
      <xdr:rowOff>152155</xdr:rowOff>
    </xdr:to>
    <xdr:pic>
      <xdr:nvPicPr>
        <xdr:cNvPr id="1070" name="Gráfico 1069" descr="Cofrinho com preenchimento sólido">
          <a:extLst>
            <a:ext uri="{FF2B5EF4-FFF2-40B4-BE49-F238E27FC236}">
              <a16:creationId xmlns:a16="http://schemas.microsoft.com/office/drawing/2014/main" id="{EED3835C-4217-48D0-9338-E58BE0D0A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11860304" y="1277990"/>
          <a:ext cx="361631" cy="352445"/>
        </a:xfrm>
        <a:prstGeom prst="rect">
          <a:avLst/>
        </a:prstGeom>
        <a:effectLst/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27</xdr:row>
      <xdr:rowOff>40236</xdr:rowOff>
    </xdr:to>
    <xdr:cxnSp macro="">
      <xdr:nvCxnSpPr>
        <xdr:cNvPr id="38" name="Conector reto 37">
          <a:extLst>
            <a:ext uri="{FF2B5EF4-FFF2-40B4-BE49-F238E27FC236}">
              <a16:creationId xmlns:a16="http://schemas.microsoft.com/office/drawing/2014/main" id="{8DB644D0-85C1-42FE-AD2B-B9674D917AED}"/>
            </a:ext>
          </a:extLst>
        </xdr:cNvPr>
        <xdr:cNvCxnSpPr/>
      </xdr:nvCxnSpPr>
      <xdr:spPr>
        <a:xfrm flipV="1">
          <a:off x="0" y="815788"/>
          <a:ext cx="0" cy="4261268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121209</xdr:rowOff>
    </xdr:to>
    <xdr:cxnSp macro="">
      <xdr:nvCxnSpPr>
        <xdr:cNvPr id="41" name="Conector reto 40">
          <a:extLst>
            <a:ext uri="{FF2B5EF4-FFF2-40B4-BE49-F238E27FC236}">
              <a16:creationId xmlns:a16="http://schemas.microsoft.com/office/drawing/2014/main" id="{282CD153-0DA9-4A69-8DDE-E7B27B7CCE23}"/>
            </a:ext>
          </a:extLst>
        </xdr:cNvPr>
        <xdr:cNvCxnSpPr/>
      </xdr:nvCxnSpPr>
      <xdr:spPr>
        <a:xfrm>
          <a:off x="0" y="830580"/>
          <a:ext cx="0" cy="226800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64079</xdr:colOff>
      <xdr:row>4</xdr:row>
      <xdr:rowOff>129374</xdr:rowOff>
    </xdr:from>
    <xdr:to>
      <xdr:col>14</xdr:col>
      <xdr:colOff>294479</xdr:colOff>
      <xdr:row>8</xdr:row>
      <xdr:rowOff>19145</xdr:rowOff>
    </xdr:to>
    <xdr:sp macro="" textlink="">
      <xdr:nvSpPr>
        <xdr:cNvPr id="22" name="Retângulo: Cantos Arredondados 21">
          <a:extLst>
            <a:ext uri="{FF2B5EF4-FFF2-40B4-BE49-F238E27FC236}">
              <a16:creationId xmlns:a16="http://schemas.microsoft.com/office/drawing/2014/main" id="{75D413A3-12D4-4003-A104-EE4A41DFC4CB}"/>
            </a:ext>
          </a:extLst>
        </xdr:cNvPr>
        <xdr:cNvSpPr/>
      </xdr:nvSpPr>
      <xdr:spPr>
        <a:xfrm>
          <a:off x="5398079" y="849041"/>
          <a:ext cx="2008400" cy="651771"/>
        </a:xfrm>
        <a:prstGeom prst="roundRect">
          <a:avLst>
            <a:gd name="adj" fmla="val 16455"/>
          </a:avLst>
        </a:prstGeom>
        <a:solidFill>
          <a:srgbClr val="212C2E"/>
        </a:solidFill>
        <a:ln w="12700"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90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18506</xdr:rowOff>
    </xdr:to>
    <xdr:cxnSp macro="">
      <xdr:nvCxnSpPr>
        <xdr:cNvPr id="58" name="Conector reto 57">
          <a:extLst>
            <a:ext uri="{FF2B5EF4-FFF2-40B4-BE49-F238E27FC236}">
              <a16:creationId xmlns:a16="http://schemas.microsoft.com/office/drawing/2014/main" id="{AAC9A275-D4DE-456C-BD86-3CC17EF459EE}"/>
            </a:ext>
          </a:extLst>
        </xdr:cNvPr>
        <xdr:cNvCxnSpPr/>
      </xdr:nvCxnSpPr>
      <xdr:spPr>
        <a:xfrm flipH="1">
          <a:off x="0" y="838200"/>
          <a:ext cx="0" cy="116477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53372</xdr:rowOff>
    </xdr:to>
    <xdr:cxnSp macro="">
      <xdr:nvCxnSpPr>
        <xdr:cNvPr id="1074" name="Conector reto 1073">
          <a:extLst>
            <a:ext uri="{FF2B5EF4-FFF2-40B4-BE49-F238E27FC236}">
              <a16:creationId xmlns:a16="http://schemas.microsoft.com/office/drawing/2014/main" id="{40278A55-83BC-4228-8DA5-380CB7BDE644}"/>
            </a:ext>
          </a:extLst>
        </xdr:cNvPr>
        <xdr:cNvCxnSpPr/>
      </xdr:nvCxnSpPr>
      <xdr:spPr>
        <a:xfrm flipV="1">
          <a:off x="0" y="846636"/>
          <a:ext cx="0" cy="14764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39059</xdr:colOff>
      <xdr:row>9</xdr:row>
      <xdr:rowOff>93599</xdr:rowOff>
    </xdr:from>
    <xdr:to>
      <xdr:col>8</xdr:col>
      <xdr:colOff>348341</xdr:colOff>
      <xdr:row>11</xdr:row>
      <xdr:rowOff>43542</xdr:rowOff>
    </xdr:to>
    <xdr:sp macro="" textlink="">
      <xdr:nvSpPr>
        <xdr:cNvPr id="1090" name="CaixaDeTexto 1">
          <a:extLst>
            <a:ext uri="{FF2B5EF4-FFF2-40B4-BE49-F238E27FC236}">
              <a16:creationId xmlns:a16="http://schemas.microsoft.com/office/drawing/2014/main" id="{590ED65B-CFED-D1AA-103A-13FA1454F56B}"/>
            </a:ext>
          </a:extLst>
        </xdr:cNvPr>
        <xdr:cNvSpPr txBox="1"/>
      </xdr:nvSpPr>
      <xdr:spPr>
        <a:xfrm>
          <a:off x="1258259" y="1955056"/>
          <a:ext cx="2747682" cy="3200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sz="1400" b="0" i="0" u="none" strike="noStrike">
              <a:solidFill>
                <a:schemeClr val="bg1"/>
              </a:solidFill>
              <a:latin typeface="Montserrat" panose="00000500000000000000" pitchFamily="2" charset="0"/>
              <a:ea typeface="Calibri"/>
              <a:cs typeface="Calibri"/>
            </a:rPr>
            <a:t>Saldo em Conta por</a:t>
          </a:r>
          <a:r>
            <a:rPr lang="en-US" sz="1400" b="0" i="0" u="none" strike="noStrike" baseline="0">
              <a:solidFill>
                <a:schemeClr val="bg1"/>
              </a:solidFill>
              <a:latin typeface="Montserrat" panose="00000500000000000000" pitchFamily="2" charset="0"/>
              <a:ea typeface="Calibri"/>
              <a:cs typeface="Calibri"/>
            </a:rPr>
            <a:t> Banco</a:t>
          </a:r>
        </a:p>
        <a:p>
          <a:pPr algn="l"/>
          <a:endParaRPr lang="en-US" sz="1400" b="0" i="0" u="none" strike="noStrike">
            <a:solidFill>
              <a:schemeClr val="bg1"/>
            </a:solidFill>
            <a:latin typeface="Montserrat" panose="00000500000000000000" pitchFamily="2" charset="0"/>
            <a:ea typeface="Calibri"/>
            <a:cs typeface="Calibri"/>
          </a:endParaRPr>
        </a:p>
        <a:p>
          <a:pPr algn="l"/>
          <a:endParaRPr lang="en-US" sz="1400" b="0" i="0" u="none" strike="noStrike">
            <a:solidFill>
              <a:schemeClr val="bg1"/>
            </a:solidFill>
            <a:latin typeface="Montserrat" panose="00000500000000000000" pitchFamily="2" charset="0"/>
            <a:ea typeface="Calibri"/>
            <a:cs typeface="Calibri"/>
          </a:endParaRPr>
        </a:p>
      </xdr:txBody>
    </xdr:sp>
    <xdr:clientData/>
  </xdr:twoCellAnchor>
  <xdr:twoCellAnchor>
    <xdr:from>
      <xdr:col>11</xdr:col>
      <xdr:colOff>170357</xdr:colOff>
      <xdr:row>5</xdr:row>
      <xdr:rowOff>32</xdr:rowOff>
    </xdr:from>
    <xdr:to>
      <xdr:col>14</xdr:col>
      <xdr:colOff>253628</xdr:colOff>
      <xdr:row>7</xdr:row>
      <xdr:rowOff>182304</xdr:rowOff>
    </xdr:to>
    <xdr:grpSp>
      <xdr:nvGrpSpPr>
        <xdr:cNvPr id="1024" name="Agrupar 1023">
          <a:extLst>
            <a:ext uri="{FF2B5EF4-FFF2-40B4-BE49-F238E27FC236}">
              <a16:creationId xmlns:a16="http://schemas.microsoft.com/office/drawing/2014/main" id="{157A378C-C724-25C6-7B15-2541A5D828FB}"/>
            </a:ext>
          </a:extLst>
        </xdr:cNvPr>
        <xdr:cNvGrpSpPr/>
      </xdr:nvGrpSpPr>
      <xdr:grpSpPr>
        <a:xfrm>
          <a:off x="5528170" y="904907"/>
          <a:ext cx="1869208" cy="563272"/>
          <a:chOff x="5990258" y="1775733"/>
          <a:chExt cx="1908350" cy="544457"/>
        </a:xfrm>
        <a:solidFill>
          <a:srgbClr val="212C2E"/>
        </a:solidFill>
        <a:effectLst/>
      </xdr:grpSpPr>
      <xdr:sp macro="" textlink="">
        <xdr:nvSpPr>
          <xdr:cNvPr id="1036" name="CaixaDeTexto 1035">
            <a:extLst>
              <a:ext uri="{FF2B5EF4-FFF2-40B4-BE49-F238E27FC236}">
                <a16:creationId xmlns:a16="http://schemas.microsoft.com/office/drawing/2014/main" id="{78B8630F-778B-40E6-889E-9FBAFD4505A0}"/>
              </a:ext>
            </a:extLst>
          </xdr:cNvPr>
          <xdr:cNvSpPr txBox="1"/>
        </xdr:nvSpPr>
        <xdr:spPr>
          <a:xfrm>
            <a:off x="6157046" y="1775733"/>
            <a:ext cx="1677360" cy="180399"/>
          </a:xfrm>
          <a:prstGeom prst="rect">
            <a:avLst/>
          </a:prstGeom>
          <a:grpFill/>
          <a:ln w="9525" cmpd="sng">
            <a:noFill/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r>
              <a:rPr lang="pt-BR" sz="1400" b="0" i="0" u="none" strike="noStrike">
                <a:solidFill>
                  <a:schemeClr val="bg1"/>
                </a:solidFill>
                <a:latin typeface="Montserrat" panose="00000500000000000000" pitchFamily="2" charset="0"/>
                <a:ea typeface="Calibri"/>
                <a:cs typeface="Calibri"/>
              </a:rPr>
              <a:t>Total</a:t>
            </a:r>
            <a:r>
              <a:rPr lang="pt-BR" sz="1400" b="0" i="0" u="none" strike="noStrike">
                <a:solidFill>
                  <a:sysClr val="windowText" lastClr="000000"/>
                </a:solidFill>
                <a:latin typeface="Montserrat" panose="00000500000000000000" pitchFamily="2" charset="0"/>
                <a:ea typeface="Calibri"/>
                <a:cs typeface="Calibri"/>
              </a:rPr>
              <a:t> </a:t>
            </a:r>
            <a:r>
              <a:rPr lang="pt-BR" sz="1400" b="0" i="0" u="none" strike="noStrike">
                <a:solidFill>
                  <a:schemeClr val="bg1"/>
                </a:solidFill>
                <a:latin typeface="Montserrat" panose="00000500000000000000" pitchFamily="2" charset="0"/>
                <a:ea typeface="Calibri"/>
                <a:cs typeface="Calibri"/>
              </a:rPr>
              <a:t>Receitas</a:t>
            </a:r>
          </a:p>
        </xdr:txBody>
      </xdr:sp>
      <xdr:sp macro="" textlink="Auxiliar!G1">
        <xdr:nvSpPr>
          <xdr:cNvPr id="1042" name="CaixaDeTexto 1041">
            <a:extLst>
              <a:ext uri="{FF2B5EF4-FFF2-40B4-BE49-F238E27FC236}">
                <a16:creationId xmlns:a16="http://schemas.microsoft.com/office/drawing/2014/main" id="{282C61D1-EC8A-4862-BF07-198AC15A348E}"/>
              </a:ext>
            </a:extLst>
          </xdr:cNvPr>
          <xdr:cNvSpPr txBox="1"/>
        </xdr:nvSpPr>
        <xdr:spPr>
          <a:xfrm>
            <a:off x="6136742" y="2043825"/>
            <a:ext cx="1761866" cy="209972"/>
          </a:xfrm>
          <a:prstGeom prst="rect">
            <a:avLst/>
          </a:prstGeom>
          <a:grpFill/>
          <a:ln w="9525" cmpd="sng">
            <a:noFill/>
          </a:ln>
          <a:effectLst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marL="0" indent="0" algn="ctr"/>
            <a:fld id="{3AABBB0D-FD6B-4420-B588-213E29944620}" type="TxLink">
              <a:rPr lang="en-US" sz="1600" b="0" i="0" u="none" strike="noStrike">
                <a:solidFill>
                  <a:schemeClr val="bg1">
                    <a:lumMod val="75000"/>
                  </a:schemeClr>
                </a:solidFill>
                <a:latin typeface="Montserrat" panose="00000500000000000000" pitchFamily="2" charset="0"/>
                <a:ea typeface="Calibri"/>
                <a:cs typeface="Calibri"/>
              </a:rPr>
              <a:pPr marL="0" indent="0" algn="ctr"/>
              <a:t> R$ 100.365 </a:t>
            </a:fld>
            <a:endParaRPr lang="pt-BR" sz="1600" b="0" i="0" u="none" strike="noStrike">
              <a:solidFill>
                <a:schemeClr val="bg1">
                  <a:lumMod val="75000"/>
                </a:schemeClr>
              </a:solidFill>
              <a:latin typeface="Montserrat" panose="00000500000000000000" pitchFamily="2" charset="0"/>
              <a:ea typeface="Calibri"/>
              <a:cs typeface="Calibri"/>
            </a:endParaRPr>
          </a:p>
        </xdr:txBody>
      </xdr:sp>
      <xdr:pic>
        <xdr:nvPicPr>
          <xdr:cNvPr id="1057" name="Gráfico 1056" descr="Dinheiro com preenchimento sólido">
            <a:extLst>
              <a:ext uri="{FF2B5EF4-FFF2-40B4-BE49-F238E27FC236}">
                <a16:creationId xmlns:a16="http://schemas.microsoft.com/office/drawing/2014/main" id="{5F059439-A25A-41EE-ADD1-BA5BE2392BB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>
            <a:extLst>
              <a:ext uri="{96DAC541-7B7A-43D3-8B79-37D633B846F1}">
                <asvg:svgBlip xmlns:asvg="http://schemas.microsoft.com/office/drawing/2016/SVG/main" r:embed="rId15"/>
              </a:ext>
            </a:extLst>
          </a:blip>
          <a:stretch>
            <a:fillRect/>
          </a:stretch>
        </xdr:blipFill>
        <xdr:spPr>
          <a:xfrm>
            <a:off x="5990258" y="1983950"/>
            <a:ext cx="345600" cy="336240"/>
          </a:xfrm>
          <a:prstGeom prst="rect">
            <a:avLst/>
          </a:prstGeom>
          <a:effectLst/>
        </xdr:spPr>
      </xdr:pic>
    </xdr:grpSp>
    <xdr:clientData/>
  </xdr:twoCellAnchor>
  <xdr:twoCellAnchor editAs="oneCell">
    <xdr:from>
      <xdr:col>23</xdr:col>
      <xdr:colOff>382551</xdr:colOff>
      <xdr:row>0</xdr:row>
      <xdr:rowOff>31974</xdr:rowOff>
    </xdr:from>
    <xdr:to>
      <xdr:col>24</xdr:col>
      <xdr:colOff>464344</xdr:colOff>
      <xdr:row>3</xdr:row>
      <xdr:rowOff>142876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9E17AA59-66E8-9EEB-DA1A-6D0374C4C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84114" y="31974"/>
          <a:ext cx="677105" cy="646683"/>
        </a:xfrm>
        <a:prstGeom prst="rect">
          <a:avLst/>
        </a:prstGeom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0.38308</cdr:x>
      <cdr:y>0.50944</cdr:y>
    </cdr:from>
    <cdr:to>
      <cdr:x>0.63847</cdr:x>
      <cdr:y>0.64055</cdr:y>
    </cdr:to>
    <cdr:sp macro="" textlink="Auxiliar!$F$19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08D49841-0C4A-8703-E5DA-41FAB8A223C7}"/>
            </a:ext>
          </a:extLst>
        </cdr:cNvPr>
        <cdr:cNvSpPr txBox="1"/>
      </cdr:nvSpPr>
      <cdr:spPr>
        <a:xfrm xmlns:a="http://schemas.openxmlformats.org/drawingml/2006/main">
          <a:off x="1372016" y="1231033"/>
          <a:ext cx="914689" cy="316818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fld id="{947D137B-EFAF-4384-B4F2-29C92EF67124}" type="TxLink">
            <a:rPr lang="en-US" sz="1400" b="0" i="0" u="none" strike="noStrike">
              <a:solidFill>
                <a:schemeClr val="bg1">
                  <a:lumMod val="95000"/>
                </a:schemeClr>
              </a:solidFill>
              <a:latin typeface="Montserrat" panose="00000500000000000000" pitchFamily="2" charset="0"/>
              <a:ea typeface="Calibri"/>
              <a:cs typeface="Calibri"/>
            </a:rPr>
            <a:pPr algn="ctr"/>
            <a:t>44,06%</a:t>
          </a:fld>
          <a:endParaRPr lang="pt-BR" sz="2400" b="0">
            <a:solidFill>
              <a:schemeClr val="bg1">
                <a:lumMod val="95000"/>
              </a:schemeClr>
            </a:solidFill>
            <a:latin typeface="Montserrat" panose="00000500000000000000" pitchFamily="2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85724</xdr:rowOff>
    </xdr:from>
    <xdr:to>
      <xdr:col>8</xdr:col>
      <xdr:colOff>95250</xdr:colOff>
      <xdr:row>6</xdr:row>
      <xdr:rowOff>102163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4FC5AE8-8128-A382-D22D-7AECEDC24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85724"/>
          <a:ext cx="1419225" cy="115943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468085</xdr:colOff>
      <xdr:row>1</xdr:row>
      <xdr:rowOff>250371</xdr:rowOff>
    </xdr:from>
    <xdr:to>
      <xdr:col>3</xdr:col>
      <xdr:colOff>1785685</xdr:colOff>
      <xdr:row>3</xdr:row>
      <xdr:rowOff>10885</xdr:rowOff>
    </xdr:to>
    <xdr:sp macro="" textlink="D2">
      <xdr:nvSpPr>
        <xdr:cNvPr id="7" name="Retângulo: Cantos Arredondados 6">
          <a:extLst>
            <a:ext uri="{FF2B5EF4-FFF2-40B4-BE49-F238E27FC236}">
              <a16:creationId xmlns:a16="http://schemas.microsoft.com/office/drawing/2014/main" id="{0C026E4D-6C68-4520-87AE-383CB2CD8008}"/>
            </a:ext>
          </a:extLst>
        </xdr:cNvPr>
        <xdr:cNvSpPr/>
      </xdr:nvSpPr>
      <xdr:spPr>
        <a:xfrm>
          <a:off x="5889171" y="827314"/>
          <a:ext cx="1317600" cy="326571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F6FEBCE9-84C8-4ADD-92EE-BD89AC9732CF}" type="TxLink">
            <a:rPr lang="en-US" sz="11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 R$ 6.250,00 </a:t>
          </a:fld>
          <a:endParaRPr lang="pt-BR" sz="1100"/>
        </a:p>
      </xdr:txBody>
    </xdr:sp>
    <xdr:clientData/>
  </xdr:twoCellAnchor>
  <xdr:twoCellAnchor>
    <xdr:from>
      <xdr:col>4</xdr:col>
      <xdr:colOff>685800</xdr:colOff>
      <xdr:row>1</xdr:row>
      <xdr:rowOff>266700</xdr:rowOff>
    </xdr:from>
    <xdr:to>
      <xdr:col>6</xdr:col>
      <xdr:colOff>31725</xdr:colOff>
      <xdr:row>3</xdr:row>
      <xdr:rowOff>27214</xdr:rowOff>
    </xdr:to>
    <xdr:sp macro="" textlink="D2">
      <xdr:nvSpPr>
        <xdr:cNvPr id="4" name="Retângulo: Cantos Arredondados 3">
          <a:extLst>
            <a:ext uri="{FF2B5EF4-FFF2-40B4-BE49-F238E27FC236}">
              <a16:creationId xmlns:a16="http://schemas.microsoft.com/office/drawing/2014/main" id="{71532C57-0200-481C-AB80-45A9A25EC344}"/>
            </a:ext>
          </a:extLst>
        </xdr:cNvPr>
        <xdr:cNvSpPr/>
      </xdr:nvSpPr>
      <xdr:spPr>
        <a:xfrm>
          <a:off x="7743825" y="838200"/>
          <a:ext cx="1317600" cy="312964"/>
        </a:xfrm>
        <a:prstGeom prst="roundRect">
          <a:avLst/>
        </a:prstGeom>
        <a:solidFill>
          <a:schemeClr val="accent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>
              <a:solidFill>
                <a:schemeClr val="tx1"/>
              </a:solidFill>
            </a:rPr>
            <a:t>Contas Atrasadas</a:t>
          </a:r>
        </a:p>
      </xdr:txBody>
    </xdr:sp>
    <xdr:clientData/>
  </xdr:twoCellAnchor>
  <xdr:twoCellAnchor editAs="oneCell">
    <xdr:from>
      <xdr:col>0</xdr:col>
      <xdr:colOff>142875</xdr:colOff>
      <xdr:row>0</xdr:row>
      <xdr:rowOff>74084</xdr:rowOff>
    </xdr:from>
    <xdr:to>
      <xdr:col>0</xdr:col>
      <xdr:colOff>876300</xdr:colOff>
      <xdr:row>1</xdr:row>
      <xdr:rowOff>142876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D8D6958-E712-8098-59FF-13F4FB462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74084"/>
          <a:ext cx="733425" cy="6402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14DAB51-D625-4252-995E-6248D7AF52C4}" name="RECEITAS" displayName="RECEITAS" ref="A5:F64" totalsRowShown="0" headerRowDxfId="121" dataDxfId="119" headerRowBorderDxfId="120" tableBorderDxfId="118" totalsRowBorderDxfId="117">
  <autoFilter ref="A5:F64" xr:uid="{7B3DBCEE-0061-4A67-851F-808927257761}"/>
  <tableColumns count="6">
    <tableColumn id="2" xr3:uid="{9BDD2799-EDD1-41A5-83E0-8F30B97428E0}" name="Origem" dataDxfId="116"/>
    <tableColumn id="7" xr3:uid="{C0676E67-CA30-43D8-A43D-B45309C0A05B}" name="Valor R$" dataDxfId="115" dataCellStyle="Moeda"/>
    <tableColumn id="16" xr3:uid="{5A1A2774-03F3-425B-909D-376D9DA396E5}" name="Destino" dataDxfId="114" dataCellStyle="Moeda"/>
    <tableColumn id="13" xr3:uid="{6285361E-CA5B-4308-9621-1C79CBE0B29A}" name="Data" dataDxfId="113"/>
    <tableColumn id="14" xr3:uid="{EADF78A1-0688-4688-9F89-1B0B19590280}" name="Mês" dataDxfId="112">
      <calculatedColumnFormula>TEXT(RECEITAS[[#This Row],[Data]],"mmmm")</calculatedColumnFormula>
    </tableColumn>
    <tableColumn id="15" xr3:uid="{5F447069-117F-44EB-A9C2-8F809407B654}" name="Ano" dataDxfId="111">
      <calculatedColumnFormula>YEAR(RECEITAS[[#This Row],[Data]])</calculatedColumnFormula>
    </tableColumn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091C3EF-1567-47D6-B6E4-EC405B1C15FB}" name="TRANSPORTE" displayName="TRANSPORTE" ref="U1:U10" totalsRowShown="0" headerRowDxfId="58" headerRowBorderDxfId="57" tableBorderDxfId="56" totalsRowBorderDxfId="55">
  <autoFilter ref="U1:U10" xr:uid="{56C02182-A9D2-45F8-89FB-1144C345234D}"/>
  <tableColumns count="1">
    <tableColumn id="1" xr3:uid="{1D2499BC-8098-4C9F-B3E9-DFEB814C4EC7}" name="Transporte" dataDxfId="5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8C48220-E39D-4FA8-B8D7-63D1C49B4582}" name="PESSOAIS" displayName="PESSOAIS" ref="V1:V5" totalsRowShown="0" headerRowDxfId="53" headerRowBorderDxfId="52" tableBorderDxfId="51" totalsRowBorderDxfId="50">
  <autoFilter ref="V1:V5" xr:uid="{67B451E5-723F-4E0C-9FA0-BF0BFCE5B8FF}"/>
  <tableColumns count="1">
    <tableColumn id="1" xr3:uid="{21F5D46F-3DC7-4A6B-95C3-6FA567043DBB}" name="Pessoais" dataDxfId="4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E665221-E884-43B2-B9E9-3B79ED824497}" name="LAZER" displayName="LAZER" ref="W1:W6" totalsRowShown="0" headerRowDxfId="48" headerRowBorderDxfId="47" tableBorderDxfId="46" totalsRowBorderDxfId="45">
  <autoFilter ref="W1:W6" xr:uid="{E9DA0D7F-00DE-47B3-B5CC-2F483D271F34}"/>
  <tableColumns count="1">
    <tableColumn id="1" xr3:uid="{D28957CC-98A1-4C09-8B26-72FF8902EBE6}" name="Lazer" dataDxfId="4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89126B5-641C-4DEF-BA42-9D28D3A5D022}" name="FINANCEIROS" displayName="FINANCEIROS" ref="X1:X11" totalsRowShown="0" headerRowDxfId="43" headerRowBorderDxfId="42" tableBorderDxfId="41" totalsRowBorderDxfId="40">
  <autoFilter ref="X1:X11" xr:uid="{CF79CF54-7BDC-4040-AC14-B80837BAD654}"/>
  <tableColumns count="1">
    <tableColumn id="1" xr3:uid="{82349A30-7211-4EF4-AF0F-F7E41C5216DD}" name="Financeiros" dataDxfId="3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2311EF8-67A1-4C0C-8CB3-A45B172D8665}" name="INVESTIMENTOS" displayName="INVESTIMENTOS" ref="O1:O6" totalsRowShown="0" headerRowDxfId="38" headerRowBorderDxfId="37" tableBorderDxfId="36" totalsRowBorderDxfId="35">
  <autoFilter ref="O1:O6" xr:uid="{524A6117-4AB2-4DDD-BA64-ED8B0FE48504}"/>
  <tableColumns count="1">
    <tableColumn id="1" xr3:uid="{FF816CA9-1CF6-45AC-9CE3-D80EF67A43C1}" name="Investimentos" dataDxfId="3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76CB226-0BE8-4F70-B88F-3355EE712CF3}" name="FONTE_DESTINO" displayName="FONTE_DESTINO" ref="AA1:AA5" totalsRowShown="0" headerRowDxfId="33" headerRowBorderDxfId="32" tableBorderDxfId="31" totalsRowBorderDxfId="30">
  <autoFilter ref="AA1:AA5" xr:uid="{BC977840-315B-4933-88D9-932C4DC65E23}"/>
  <tableColumns count="1">
    <tableColumn id="1" xr3:uid="{34B45E9A-7F60-4B18-A0CC-0E844D4CA0A6}" name="Fonte/Destino" dataDxfId="29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A7087E6-45C9-4E2C-A788-DB5378B9C956}" name="OPCOES" displayName="OPCOES" ref="AC1:AC12" totalsRowShown="0" headerRowDxfId="28" headerRowBorderDxfId="27" tableBorderDxfId="26" totalsRowBorderDxfId="25">
  <autoFilter ref="AC1:AC12" xr:uid="{9E0D970D-C9A4-4F71-834C-3DF26610E8D8}"/>
  <tableColumns count="1">
    <tableColumn id="1" xr3:uid="{CCD1CDE7-856C-4987-89A0-675CD688D22D}" name="Opções" dataDxfId="2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5BC725A-15D0-4EFF-8CED-1D6381DB357B}" name="PróximosPagamentos" displayName="PróximosPagamentos" ref="A5:F13" totalsRowShown="0" headerRowDxfId="23" headerRowBorderDxfId="22" tableBorderDxfId="21" totalsRowBorderDxfId="20">
  <autoFilter ref="A5:F13" xr:uid="{7B3DBCEE-0061-4A67-851F-808927257761}"/>
  <tableColumns count="6">
    <tableColumn id="17" xr3:uid="{E802782C-94B4-4922-A3CA-34747414D353}" name="Conta" dataDxfId="19"/>
    <tableColumn id="7" xr3:uid="{0ACC82AF-495E-415F-A137-87C26BDA30C7}" name="Valor R$" dataDxfId="18" dataCellStyle="Moeda"/>
    <tableColumn id="13" xr3:uid="{138F0A0A-3E60-4E44-AF46-2312D65C2D7A}" name="Data de Vencimento" dataDxfId="17"/>
    <tableColumn id="2" xr3:uid="{8873F4B0-0890-429B-AFB7-FEA7108C570C}" name="Prazo de Pagamento" dataDxfId="16">
      <calculatedColumnFormula>IF(AND(PróximosPagamentos[[#This Row],[Data de Vencimento]]&gt;=TODAY()-WEEKDAY(TODAY(),2)+1,PróximosPagamentos[[#This Row],[Data de Vencimento]]&lt;=TODAY()-WEEKDAY(TODAY(),2)+7),"Pagar essa semana", "")</calculatedColumnFormula>
    </tableColumn>
    <tableColumn id="14" xr3:uid="{B9BBA668-261D-4A05-A537-0FADAFB1FF4E}" name="Mês" dataDxfId="15">
      <calculatedColumnFormula>TEXT(PróximosPagamentos[[#This Row],[Data de Vencimento]],"mmm")</calculatedColumnFormula>
    </tableColumn>
    <tableColumn id="15" xr3:uid="{82B424F9-3973-46BD-B293-EE2B34E496B0}" name="Ano" dataDxfId="14">
      <calculatedColumnFormula>YEAR(PróximosPagamentos[[#This Row],[Data de Vencimento]])</calculatedColumnFormula>
    </tableColumn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3A66717F-35A0-45CB-B8CC-71F41D3A3B05}" name="Metas" displayName="Metas" ref="B9:J13" totalsRowShown="0" headerRowDxfId="13" headerRowBorderDxfId="12" tableBorderDxfId="11" totalsRowBorderDxfId="10">
  <autoFilter ref="B9:J13" xr:uid="{3A66717F-35A0-45CB-B8CC-71F41D3A3B05}"/>
  <tableColumns count="9">
    <tableColumn id="1" xr3:uid="{CAC84B44-7690-4EE4-A260-FD649FC68F7D}" name="Meta" dataDxfId="9"/>
    <tableColumn id="2" xr3:uid="{9353D6E7-E9A5-4D91-B2E0-CD822C1BF5BE}" name="Valor Total R$" dataDxfId="8" dataCellStyle="Moeda"/>
    <tableColumn id="3" xr3:uid="{DBDA871F-F20F-471B-B99C-6A5156BE0DD8}" name="Valor Acumulado R$" dataDxfId="7"/>
    <tableColumn id="8" xr3:uid="{5118D64D-3254-43D0-9448-21821F1F4474}" name="Acumulado (%)" dataCellStyle="Porcentagem">
      <calculatedColumnFormula>Metas[[#This Row],[Valor Acumulado R$]]/Metas[[#This Row],[Valor Total R$]]</calculatedColumnFormula>
    </tableColumn>
    <tableColumn id="9" xr3:uid="{D944B82C-76BC-4AE6-9FEC-F05E485FEAF3}" name="Falta para o valor total (%)" dataDxfId="6">
      <calculatedColumnFormula>1-Metas[[#This Row],[Acumulado (%)]]</calculatedColumnFormula>
    </tableColumn>
    <tableColumn id="4" xr3:uid="{7C54BB68-18E0-467C-98D2-F0EAAA687006}" name="Data Meta" dataDxfId="5"/>
    <tableColumn id="5" xr3:uid="{C96BCF05-971A-4A14-8759-C735BB90254B}" name="Prazo em Meses" dataDxfId="4">
      <calculatedColumnFormula>IFERROR(INT((Metas[[#This Row],[Data Meta]] - TODAY()) / 30),"Data da Meta não existe")</calculatedColumnFormula>
    </tableColumn>
    <tableColumn id="6" xr3:uid="{310464D4-7565-4B52-8244-97F3BD303937}" name="Valor a Poupar por Mês" dataDxfId="3">
      <calculatedColumnFormula>IFERROR((Metas[[#This Row],[Valor Total R$]] - Metas[[#This Row],[Valor Acumulado R$]]) / Metas[[#This Row],[Prazo em Meses]], "")</calculatedColumnFormula>
    </tableColumn>
    <tableColumn id="7" xr3:uid="{082DCE99-95B9-4699-AB26-8ECAFB53F434}" name="Status Atual" dataDxfId="2">
      <calculatedColumnFormula>IF(Metas[[#This Row],[Valor Acumulado R$]]&gt;=Metas[[#This Row],[Valor Total R$]],"Valor em conta",IF(Metas[[#This Row],[Valor Acumulado R$]]=0,"Sem aportes","Em progresso"))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AE40A80-F62D-4C26-97B4-B50D3AFEF8D8}" name="DESPESAS" displayName="DESPESAS" ref="A5:H99" totalsRowShown="0" headerRowDxfId="110" headerRowBorderDxfId="109" tableBorderDxfId="108" totalsRowBorderDxfId="107">
  <autoFilter ref="A5:H99" xr:uid="{7B3DBCEE-0061-4A67-851F-808927257761}"/>
  <tableColumns count="8">
    <tableColumn id="17" xr3:uid="{8BA11E9D-F728-4B72-840A-583A29B10A2E}" name="Tipo de Gasto" dataDxfId="106"/>
    <tableColumn id="2" xr3:uid="{B759E674-9D27-4E47-A33D-0F2D3BF6EFFA}" name="Detalhamento" dataDxfId="105"/>
    <tableColumn id="1" xr3:uid="{29CC20D0-B5F6-45DA-B30E-D71894147D33}" name="Categoria" dataDxfId="104"/>
    <tableColumn id="7" xr3:uid="{3925C1D8-FE84-4D7A-95BE-D6B1D22140D4}" name="Valor R$" dataDxfId="103" dataCellStyle="Moeda"/>
    <tableColumn id="16" xr3:uid="{C5A3729F-A366-4B51-8A50-74BBCA4DFF77}" name="Fonte" dataDxfId="102" dataCellStyle="Moeda"/>
    <tableColumn id="13" xr3:uid="{896B233C-14DE-4A0A-AA90-0D4B2BC55ED9}" name="Data" dataDxfId="101"/>
    <tableColumn id="14" xr3:uid="{84517A0A-7812-4F33-9178-E0257597DF19}" name="Mês" dataDxfId="100">
      <calculatedColumnFormula>TEXT(DESPESAS[[#This Row],[Data]],"mmmm")</calculatedColumnFormula>
    </tableColumn>
    <tableColumn id="15" xr3:uid="{07737EEF-1139-4852-9D7D-57C4E6F76D87}" name="Ano" dataDxfId="99">
      <calculatedColumnFormula>YEAR(DESPESAS[[#This Row],[Data]])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EBE2877-3817-4BA9-A022-FB49ABCE0164}" name="INVEST" displayName="INVEST" ref="A5:F47" totalsRowShown="0" headerRowDxfId="98" headerRowBorderDxfId="97" tableBorderDxfId="96" totalsRowBorderDxfId="95">
  <autoFilter ref="A5:F47" xr:uid="{7B3DBCEE-0061-4A67-851F-808927257761}"/>
  <tableColumns count="6">
    <tableColumn id="17" xr3:uid="{9EF84DCE-C3EF-4942-AAD3-1AC8A5B83AFF}" name="Investimento" dataDxfId="94"/>
    <tableColumn id="7" xr3:uid="{36004425-7105-47BD-98F3-4D45ACA95D47}" name="Valor R$" dataDxfId="93" dataCellStyle="Moeda"/>
    <tableColumn id="1" xr3:uid="{4E16F8BC-91C7-415C-96A9-9A26C9D89B98}" name="Fonte" dataDxfId="92" dataCellStyle="Moeda"/>
    <tableColumn id="13" xr3:uid="{CBD0E6BD-87A5-43CC-A96C-6C9089D6357E}" name="Data" dataDxfId="91"/>
    <tableColumn id="14" xr3:uid="{E7FDBCA3-BB5B-4761-885F-6129A98BBB73}" name="Mês" dataDxfId="90">
      <calculatedColumnFormula>TEXT(INVEST[[#This Row],[Data]],"mmmm")</calculatedColumnFormula>
    </tableColumn>
    <tableColumn id="15" xr3:uid="{1BEF7560-EA06-4E7D-92F9-D1E8371202AC}" name="Ano" dataDxfId="89">
      <calculatedColumnFormula>YEAR(INVEST[[#This Row],[Data]])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CFB369-0C27-4422-855B-37279C4D7B3B}" name="RECEITA" displayName="RECEITA" ref="N1:N6" totalsRowShown="0" headerRowDxfId="88" headerRowBorderDxfId="87" tableBorderDxfId="86" totalsRowBorderDxfId="85">
  <autoFilter ref="N1:N6" xr:uid="{64B0D055-45C5-4D6A-BDDE-3A54524C67F4}"/>
  <tableColumns count="1">
    <tableColumn id="1" xr3:uid="{11689B8B-1D12-4A34-B1D6-6138E46A418E}" name="Receita" dataDxfId="8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7DB68B-836B-4C5E-B839-F5CBB9B218AD}" name="ALIMENTAÇÃO" displayName="ALIMENTAÇÃO" ref="P1:P6" totalsRowShown="0" headerRowDxfId="83" headerRowBorderDxfId="82" tableBorderDxfId="81" totalsRowBorderDxfId="80">
  <autoFilter ref="P1:P6" xr:uid="{E5A3FF84-493C-4F8F-B881-7A0F6EC4830E}"/>
  <tableColumns count="1">
    <tableColumn id="1" xr3:uid="{F21EB375-D9A8-4601-B806-535BA0E03D02}" name="Alimentação" dataDxfId="7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F1D6DF4-A0C0-49CD-B25F-D1859F8793FF}" name="MORADIA" displayName="MORADIA" ref="Q1:Q13" totalsRowShown="0" headerRowDxfId="78" headerRowBorderDxfId="77" tableBorderDxfId="76" totalsRowBorderDxfId="75">
  <autoFilter ref="Q1:Q13" xr:uid="{043107EF-4AE3-431A-B197-3CD72D0BE310}"/>
  <tableColumns count="1">
    <tableColumn id="1" xr3:uid="{9FC625C1-7575-4975-8ABD-21F7D9583A53}" name="Moradia" dataDxfId="7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6460FA-E0EE-49BF-B9DE-9869A7DD10C4}" name="EDUCAÇÃO" displayName="EDUCAÇÃO" ref="R1:R4" totalsRowShown="0" headerRowDxfId="73" headerRowBorderDxfId="72" tableBorderDxfId="71" totalsRowBorderDxfId="70">
  <autoFilter ref="R1:R4" xr:uid="{69262251-5F5B-4043-99F4-52813CBFAE8F}"/>
  <tableColumns count="1">
    <tableColumn id="1" xr3:uid="{2D596109-55D2-49F5-8720-8278288C0207}" name="Educação" dataDxfId="69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2CC1839-C7C8-48BA-AC29-5C0560EA1F80}" name="PET" displayName="PET" ref="S1:S5" totalsRowShown="0" headerRowDxfId="68" headerRowBorderDxfId="67" tableBorderDxfId="66" totalsRowBorderDxfId="65">
  <autoFilter ref="S1:S5" xr:uid="{05CA23A6-B09F-489A-80A2-8C9C21A7432C}"/>
  <tableColumns count="1">
    <tableColumn id="1" xr3:uid="{A5DF6D3F-1F67-45FF-975D-1A81FA486E06}" name="Pet" dataDxfId="6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9884152-1D45-420B-AB93-6C3DC13A88AE}" name="SAÚDE" displayName="SAÚDE" ref="T1:T7" totalsRowShown="0" headerRowDxfId="63" headerRowBorderDxfId="62" tableBorderDxfId="61" totalsRowBorderDxfId="60">
  <autoFilter ref="T1:T7" xr:uid="{217BA77C-8C45-489F-983E-9ECA44369ECE}"/>
  <tableColumns count="1">
    <tableColumn id="1" xr3:uid="{9607686F-F0B3-451F-9BC9-D04CC26FA050}" name="Saúde" dataDxfId="5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Relationship Id="rId4" Type="http://schemas.openxmlformats.org/officeDocument/2006/relationships/ctrlProp" Target="../ctrlProps/ctrlProp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6.xml"/><Relationship Id="rId4" Type="http://schemas.openxmlformats.org/officeDocument/2006/relationships/ctrlProp" Target="../ctrlProps/ctrlProp4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0.xml"/><Relationship Id="rId13" Type="http://schemas.openxmlformats.org/officeDocument/2006/relationships/table" Target="../tables/table15.xml"/><Relationship Id="rId3" Type="http://schemas.openxmlformats.org/officeDocument/2006/relationships/table" Target="../tables/table5.xml"/><Relationship Id="rId7" Type="http://schemas.openxmlformats.org/officeDocument/2006/relationships/table" Target="../tables/table9.xml"/><Relationship Id="rId12" Type="http://schemas.openxmlformats.org/officeDocument/2006/relationships/table" Target="../tables/table14.xml"/><Relationship Id="rId2" Type="http://schemas.openxmlformats.org/officeDocument/2006/relationships/table" Target="../tables/table4.xml"/><Relationship Id="rId1" Type="http://schemas.openxmlformats.org/officeDocument/2006/relationships/drawing" Target="../drawings/drawing8.xml"/><Relationship Id="rId6" Type="http://schemas.openxmlformats.org/officeDocument/2006/relationships/table" Target="../tables/table8.xml"/><Relationship Id="rId11" Type="http://schemas.openxmlformats.org/officeDocument/2006/relationships/table" Target="../tables/table13.xml"/><Relationship Id="rId5" Type="http://schemas.openxmlformats.org/officeDocument/2006/relationships/table" Target="../tables/table7.xml"/><Relationship Id="rId10" Type="http://schemas.openxmlformats.org/officeDocument/2006/relationships/table" Target="../tables/table12.xml"/><Relationship Id="rId4" Type="http://schemas.openxmlformats.org/officeDocument/2006/relationships/table" Target="../tables/table6.xml"/><Relationship Id="rId9" Type="http://schemas.openxmlformats.org/officeDocument/2006/relationships/table" Target="../tables/table11.xml"/><Relationship Id="rId14" Type="http://schemas.openxmlformats.org/officeDocument/2006/relationships/table" Target="../tables/table1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A47D9-B08F-4E60-BB36-18A33E1FB57A}">
  <sheetPr codeName="Planilha2"/>
  <dimension ref="A1:I64"/>
  <sheetViews>
    <sheetView showGridLines="0" zoomScaleNormal="100" workbookViewId="0">
      <pane ySplit="5" topLeftCell="A6" activePane="bottomLeft" state="frozen"/>
      <selection pane="bottomLeft" activeCell="F1" sqref="F1"/>
    </sheetView>
  </sheetViews>
  <sheetFormatPr defaultRowHeight="15" x14ac:dyDescent="0.25"/>
  <cols>
    <col min="1" max="1" width="24.42578125" customWidth="1"/>
    <col min="2" max="2" width="20" customWidth="1"/>
    <col min="3" max="3" width="23.28515625" bestFit="1" customWidth="1"/>
    <col min="4" max="4" width="18.42578125" bestFit="1" customWidth="1"/>
    <col min="5" max="5" width="14.28515625" customWidth="1"/>
    <col min="6" max="6" width="12.42578125" customWidth="1"/>
    <col min="7" max="7" width="16.140625" customWidth="1"/>
    <col min="8" max="8" width="12.85546875" customWidth="1"/>
    <col min="9" max="9" width="11.140625" customWidth="1"/>
  </cols>
  <sheetData>
    <row r="1" spans="1:9" ht="53.25" customHeight="1" x14ac:dyDescent="0.5">
      <c r="A1" s="4"/>
      <c r="B1" s="1"/>
    </row>
    <row r="2" spans="1:9" ht="11.25" customHeight="1" x14ac:dyDescent="0.5">
      <c r="A2" s="4"/>
      <c r="B2" s="1"/>
    </row>
    <row r="3" spans="1:9" ht="23.25" customHeight="1" x14ac:dyDescent="0.5">
      <c r="A3" s="91" t="s">
        <v>93</v>
      </c>
      <c r="B3" s="2"/>
      <c r="C3" s="30" t="s">
        <v>42</v>
      </c>
      <c r="D3" s="29">
        <f>SUBTOTAL(9,RECEITAS[Valor R$])</f>
        <v>227605</v>
      </c>
      <c r="E3" s="5"/>
      <c r="G3" s="6"/>
      <c r="I3" s="3"/>
    </row>
    <row r="4" spans="1:9" ht="12" customHeight="1" x14ac:dyDescent="0.5">
      <c r="B4" s="2"/>
      <c r="I4" s="3"/>
    </row>
    <row r="5" spans="1:9" ht="15.75" x14ac:dyDescent="0.25">
      <c r="A5" s="109" t="s">
        <v>97</v>
      </c>
      <c r="B5" s="109" t="s">
        <v>87</v>
      </c>
      <c r="C5" s="109" t="s">
        <v>94</v>
      </c>
      <c r="D5" s="109" t="s">
        <v>77</v>
      </c>
      <c r="E5" s="109" t="s">
        <v>86</v>
      </c>
      <c r="F5" s="109" t="s">
        <v>88</v>
      </c>
    </row>
    <row r="6" spans="1:9" x14ac:dyDescent="0.25">
      <c r="A6" s="22" t="s">
        <v>0</v>
      </c>
      <c r="B6" s="23">
        <v>7000</v>
      </c>
      <c r="C6" s="65" t="s">
        <v>89</v>
      </c>
      <c r="D6" s="66">
        <v>45292</v>
      </c>
      <c r="E6" s="67" t="str">
        <f>TEXT(RECEITAS[[#This Row],[Data]],"mmmm")</f>
        <v>janeiro</v>
      </c>
      <c r="F6" s="24">
        <f>YEAR(RECEITAS[[#This Row],[Data]])</f>
        <v>2024</v>
      </c>
    </row>
    <row r="7" spans="1:9" x14ac:dyDescent="0.25">
      <c r="A7" s="22" t="s">
        <v>1</v>
      </c>
      <c r="B7" s="23">
        <v>1400</v>
      </c>
      <c r="C7" s="65" t="s">
        <v>111</v>
      </c>
      <c r="D7" s="66">
        <v>45301</v>
      </c>
      <c r="E7" s="67" t="str">
        <f>TEXT(RECEITAS[[#This Row],[Data]],"mmmm")</f>
        <v>janeiro</v>
      </c>
      <c r="F7" s="24">
        <f>YEAR(RECEITAS[[#This Row],[Data]])</f>
        <v>2024</v>
      </c>
    </row>
    <row r="8" spans="1:9" x14ac:dyDescent="0.25">
      <c r="A8" s="22" t="s">
        <v>96</v>
      </c>
      <c r="B8" s="23">
        <v>1600</v>
      </c>
      <c r="C8" s="65" t="s">
        <v>111</v>
      </c>
      <c r="D8" s="66">
        <v>45455</v>
      </c>
      <c r="E8" s="67" t="str">
        <f>TEXT(RECEITAS[[#This Row],[Data]],"mmmm")</f>
        <v>junho</v>
      </c>
      <c r="F8" s="24">
        <f>YEAR(RECEITAS[[#This Row],[Data]])</f>
        <v>2024</v>
      </c>
    </row>
    <row r="9" spans="1:9" x14ac:dyDescent="0.25">
      <c r="A9" s="22" t="s">
        <v>0</v>
      </c>
      <c r="B9" s="23">
        <v>7000</v>
      </c>
      <c r="C9" s="65" t="s">
        <v>89</v>
      </c>
      <c r="D9" s="66">
        <v>45323</v>
      </c>
      <c r="E9" s="67" t="str">
        <f>TEXT(RECEITAS[[#This Row],[Data]],"mmmm")</f>
        <v>fevereiro</v>
      </c>
      <c r="F9" s="24">
        <f>YEAR(RECEITAS[[#This Row],[Data]])</f>
        <v>2024</v>
      </c>
    </row>
    <row r="10" spans="1:9" x14ac:dyDescent="0.25">
      <c r="A10" s="22" t="s">
        <v>0</v>
      </c>
      <c r="B10" s="23">
        <v>7000</v>
      </c>
      <c r="C10" s="65" t="s">
        <v>111</v>
      </c>
      <c r="D10" s="66">
        <v>45352</v>
      </c>
      <c r="E10" s="67" t="str">
        <f>TEXT(RECEITAS[[#This Row],[Data]],"mmmm")</f>
        <v>março</v>
      </c>
      <c r="F10" s="24">
        <f>YEAR(RECEITAS[[#This Row],[Data]])</f>
        <v>2024</v>
      </c>
    </row>
    <row r="11" spans="1:9" x14ac:dyDescent="0.25">
      <c r="A11" s="22" t="s">
        <v>0</v>
      </c>
      <c r="B11" s="23">
        <v>7000</v>
      </c>
      <c r="C11" s="65" t="s">
        <v>89</v>
      </c>
      <c r="D11" s="66">
        <v>45383</v>
      </c>
      <c r="E11" s="67" t="str">
        <f>TEXT(RECEITAS[[#This Row],[Data]],"mmmm")</f>
        <v>abril</v>
      </c>
      <c r="F11" s="24">
        <f>YEAR(RECEITAS[[#This Row],[Data]])</f>
        <v>2024</v>
      </c>
    </row>
    <row r="12" spans="1:9" x14ac:dyDescent="0.25">
      <c r="A12" s="22" t="s">
        <v>0</v>
      </c>
      <c r="B12" s="23">
        <v>7000</v>
      </c>
      <c r="C12" s="65" t="s">
        <v>89</v>
      </c>
      <c r="D12" s="66">
        <v>45413</v>
      </c>
      <c r="E12" s="67" t="str">
        <f>TEXT(RECEITAS[[#This Row],[Data]],"mmmm")</f>
        <v>maio</v>
      </c>
      <c r="F12" s="24">
        <f>YEAR(RECEITAS[[#This Row],[Data]])</f>
        <v>2024</v>
      </c>
    </row>
    <row r="13" spans="1:9" x14ac:dyDescent="0.25">
      <c r="A13" s="22" t="s">
        <v>0</v>
      </c>
      <c r="B13" s="23">
        <v>7000</v>
      </c>
      <c r="C13" s="65" t="s">
        <v>89</v>
      </c>
      <c r="D13" s="66">
        <v>45444</v>
      </c>
      <c r="E13" s="67" t="str">
        <f>TEXT(RECEITAS[[#This Row],[Data]],"mmmm")</f>
        <v>junho</v>
      </c>
      <c r="F13" s="24">
        <f>YEAR(RECEITAS[[#This Row],[Data]])</f>
        <v>2024</v>
      </c>
    </row>
    <row r="14" spans="1:9" x14ac:dyDescent="0.25">
      <c r="A14" s="22" t="s">
        <v>0</v>
      </c>
      <c r="B14" s="23">
        <v>7000</v>
      </c>
      <c r="C14" s="65" t="s">
        <v>89</v>
      </c>
      <c r="D14" s="66">
        <v>45474</v>
      </c>
      <c r="E14" s="67" t="str">
        <f>TEXT(RECEITAS[[#This Row],[Data]],"mmmm")</f>
        <v>julho</v>
      </c>
      <c r="F14" s="24">
        <f>YEAR(RECEITAS[[#This Row],[Data]])</f>
        <v>2024</v>
      </c>
    </row>
    <row r="15" spans="1:9" x14ac:dyDescent="0.25">
      <c r="A15" s="22" t="s">
        <v>96</v>
      </c>
      <c r="B15" s="23">
        <v>120</v>
      </c>
      <c r="C15" s="65" t="s">
        <v>89</v>
      </c>
      <c r="D15" s="66">
        <v>45505</v>
      </c>
      <c r="E15" s="67" t="str">
        <f>TEXT(RECEITAS[[#This Row],[Data]],"mmmm")</f>
        <v>agosto</v>
      </c>
      <c r="F15" s="24">
        <f>YEAR(RECEITAS[[#This Row],[Data]])</f>
        <v>2024</v>
      </c>
    </row>
    <row r="16" spans="1:9" x14ac:dyDescent="0.25">
      <c r="A16" s="22" t="s">
        <v>96</v>
      </c>
      <c r="B16" s="23">
        <v>120</v>
      </c>
      <c r="C16" s="65" t="s">
        <v>111</v>
      </c>
      <c r="D16" s="66">
        <v>45505</v>
      </c>
      <c r="E16" s="67" t="str">
        <f>TEXT(RECEITAS[[#This Row],[Data]],"mmmm")</f>
        <v>agosto</v>
      </c>
      <c r="F16" s="24">
        <f>YEAR(RECEITAS[[#This Row],[Data]])</f>
        <v>2024</v>
      </c>
    </row>
    <row r="17" spans="1:6" x14ac:dyDescent="0.25">
      <c r="A17" s="22" t="s">
        <v>96</v>
      </c>
      <c r="B17" s="23">
        <v>340</v>
      </c>
      <c r="C17" s="65" t="s">
        <v>111</v>
      </c>
      <c r="D17" s="66">
        <v>45505</v>
      </c>
      <c r="E17" s="67" t="str">
        <f>TEXT(RECEITAS[[#This Row],[Data]],"mmmm")</f>
        <v>agosto</v>
      </c>
      <c r="F17" s="24">
        <f>YEAR(RECEITAS[[#This Row],[Data]])</f>
        <v>2024</v>
      </c>
    </row>
    <row r="18" spans="1:6" x14ac:dyDescent="0.25">
      <c r="A18" s="22" t="s">
        <v>96</v>
      </c>
      <c r="B18" s="23">
        <v>340</v>
      </c>
      <c r="C18" s="65" t="s">
        <v>89</v>
      </c>
      <c r="D18" s="66">
        <v>45505</v>
      </c>
      <c r="E18" s="67" t="str">
        <f>TEXT(RECEITAS[[#This Row],[Data]],"mmmm")</f>
        <v>agosto</v>
      </c>
      <c r="F18" s="24">
        <f>YEAR(RECEITAS[[#This Row],[Data]])</f>
        <v>2024</v>
      </c>
    </row>
    <row r="19" spans="1:6" x14ac:dyDescent="0.25">
      <c r="A19" s="22" t="s">
        <v>0</v>
      </c>
      <c r="B19" s="23">
        <v>7000</v>
      </c>
      <c r="C19" s="65" t="s">
        <v>89</v>
      </c>
      <c r="D19" s="66">
        <v>45505</v>
      </c>
      <c r="E19" s="67" t="str">
        <f>TEXT(RECEITAS[[#This Row],[Data]],"mmmm")</f>
        <v>agosto</v>
      </c>
      <c r="F19" s="24">
        <f>YEAR(RECEITAS[[#This Row],[Data]])</f>
        <v>2024</v>
      </c>
    </row>
    <row r="20" spans="1:6" x14ac:dyDescent="0.25">
      <c r="A20" s="22" t="s">
        <v>96</v>
      </c>
      <c r="B20" s="23">
        <v>220</v>
      </c>
      <c r="C20" s="65" t="s">
        <v>111</v>
      </c>
      <c r="D20" s="66">
        <v>45505</v>
      </c>
      <c r="E20" s="67" t="str">
        <f>TEXT(RECEITAS[[#This Row],[Data]],"mmmm")</f>
        <v>agosto</v>
      </c>
      <c r="F20" s="24">
        <f>YEAR(RECEITAS[[#This Row],[Data]])</f>
        <v>2024</v>
      </c>
    </row>
    <row r="21" spans="1:6" x14ac:dyDescent="0.25">
      <c r="A21" s="22" t="s">
        <v>0</v>
      </c>
      <c r="B21" s="23">
        <v>7000</v>
      </c>
      <c r="C21" s="65" t="s">
        <v>89</v>
      </c>
      <c r="D21" s="66">
        <v>45536</v>
      </c>
      <c r="E21" s="67" t="str">
        <f>TEXT(RECEITAS[[#This Row],[Data]],"mmmm")</f>
        <v>setembro</v>
      </c>
      <c r="F21" s="24">
        <f>YEAR(RECEITAS[[#This Row],[Data]])</f>
        <v>2024</v>
      </c>
    </row>
    <row r="22" spans="1:6" x14ac:dyDescent="0.25">
      <c r="A22" s="22" t="s">
        <v>96</v>
      </c>
      <c r="B22" s="23">
        <v>220</v>
      </c>
      <c r="C22" s="65" t="s">
        <v>89</v>
      </c>
      <c r="D22" s="66">
        <v>45536</v>
      </c>
      <c r="E22" s="67" t="str">
        <f>TEXT(RECEITAS[[#This Row],[Data]],"mmmm")</f>
        <v>setembro</v>
      </c>
      <c r="F22" s="24">
        <f>YEAR(RECEITAS[[#This Row],[Data]])</f>
        <v>2024</v>
      </c>
    </row>
    <row r="23" spans="1:6" x14ac:dyDescent="0.25">
      <c r="A23" s="22" t="s">
        <v>96</v>
      </c>
      <c r="B23" s="23">
        <v>1100</v>
      </c>
      <c r="C23" s="65" t="s">
        <v>89</v>
      </c>
      <c r="D23" s="66">
        <v>45536</v>
      </c>
      <c r="E23" s="67" t="str">
        <f>TEXT(RECEITAS[[#This Row],[Data]],"mmmm")</f>
        <v>setembro</v>
      </c>
      <c r="F23" s="24">
        <f>YEAR(RECEITAS[[#This Row],[Data]])</f>
        <v>2024</v>
      </c>
    </row>
    <row r="24" spans="1:6" x14ac:dyDescent="0.25">
      <c r="A24" s="22" t="s">
        <v>0</v>
      </c>
      <c r="B24" s="23">
        <v>7000</v>
      </c>
      <c r="C24" s="65" t="s">
        <v>89</v>
      </c>
      <c r="D24" s="66">
        <v>45566</v>
      </c>
      <c r="E24" s="67" t="str">
        <f>TEXT(RECEITAS[[#This Row],[Data]],"mmmm")</f>
        <v>outubro</v>
      </c>
      <c r="F24" s="24">
        <f>YEAR(RECEITAS[[#This Row],[Data]])</f>
        <v>2024</v>
      </c>
    </row>
    <row r="25" spans="1:6" x14ac:dyDescent="0.25">
      <c r="A25" s="22" t="s">
        <v>96</v>
      </c>
      <c r="B25" s="23">
        <v>320</v>
      </c>
      <c r="C25" s="65" t="s">
        <v>111</v>
      </c>
      <c r="D25" s="66">
        <v>45566</v>
      </c>
      <c r="E25" s="67" t="str">
        <f>TEXT(RECEITAS[[#This Row],[Data]],"mmmm")</f>
        <v>outubro</v>
      </c>
      <c r="F25" s="24">
        <f>YEAR(RECEITAS[[#This Row],[Data]])</f>
        <v>2024</v>
      </c>
    </row>
    <row r="26" spans="1:6" x14ac:dyDescent="0.25">
      <c r="A26" s="22" t="s">
        <v>96</v>
      </c>
      <c r="B26" s="23">
        <v>890</v>
      </c>
      <c r="C26" s="65" t="s">
        <v>111</v>
      </c>
      <c r="D26" s="66">
        <v>45566</v>
      </c>
      <c r="E26" s="67" t="str">
        <f>TEXT(RECEITAS[[#This Row],[Data]],"mmmm")</f>
        <v>outubro</v>
      </c>
      <c r="F26" s="24">
        <f>YEAR(RECEITAS[[#This Row],[Data]])</f>
        <v>2024</v>
      </c>
    </row>
    <row r="27" spans="1:6" x14ac:dyDescent="0.25">
      <c r="A27" s="22" t="s">
        <v>0</v>
      </c>
      <c r="B27" s="23">
        <v>7200</v>
      </c>
      <c r="C27" s="65" t="s">
        <v>111</v>
      </c>
      <c r="D27" s="66">
        <v>45597</v>
      </c>
      <c r="E27" s="67" t="str">
        <f>TEXT(RECEITAS[[#This Row],[Data]],"mmmm")</f>
        <v>novembro</v>
      </c>
      <c r="F27" s="24">
        <f>YEAR(RECEITAS[[#This Row],[Data]])</f>
        <v>2024</v>
      </c>
    </row>
    <row r="28" spans="1:6" x14ac:dyDescent="0.25">
      <c r="A28" s="22" t="s">
        <v>96</v>
      </c>
      <c r="B28" s="23">
        <v>210</v>
      </c>
      <c r="C28" s="65" t="s">
        <v>89</v>
      </c>
      <c r="D28" s="66">
        <v>45597</v>
      </c>
      <c r="E28" s="67" t="str">
        <f>TEXT(RECEITAS[[#This Row],[Data]],"mmmm")</f>
        <v>novembro</v>
      </c>
      <c r="F28" s="24">
        <f>YEAR(RECEITAS[[#This Row],[Data]])</f>
        <v>2024</v>
      </c>
    </row>
    <row r="29" spans="1:6" x14ac:dyDescent="0.25">
      <c r="A29" s="22" t="s">
        <v>96</v>
      </c>
      <c r="B29" s="23">
        <v>970</v>
      </c>
      <c r="C29" s="65" t="s">
        <v>89</v>
      </c>
      <c r="D29" s="66">
        <v>45597</v>
      </c>
      <c r="E29" s="67" t="str">
        <f>TEXT(RECEITAS[[#This Row],[Data]],"mmmm")</f>
        <v>novembro</v>
      </c>
      <c r="F29" s="24">
        <f>YEAR(RECEITAS[[#This Row],[Data]])</f>
        <v>2024</v>
      </c>
    </row>
    <row r="30" spans="1:6" x14ac:dyDescent="0.25">
      <c r="A30" s="22" t="s">
        <v>0</v>
      </c>
      <c r="B30" s="23">
        <v>7200</v>
      </c>
      <c r="C30" s="65" t="s">
        <v>89</v>
      </c>
      <c r="D30" s="66">
        <v>45627</v>
      </c>
      <c r="E30" s="67" t="str">
        <f>TEXT(RECEITAS[[#This Row],[Data]],"mmmm")</f>
        <v>dezembro</v>
      </c>
      <c r="F30" s="24">
        <f>YEAR(RECEITAS[[#This Row],[Data]])</f>
        <v>2024</v>
      </c>
    </row>
    <row r="31" spans="1:6" x14ac:dyDescent="0.25">
      <c r="A31" s="22" t="s">
        <v>96</v>
      </c>
      <c r="B31" s="23">
        <v>2500</v>
      </c>
      <c r="C31" s="65" t="s">
        <v>89</v>
      </c>
      <c r="D31" s="66">
        <v>45627</v>
      </c>
      <c r="E31" s="67" t="str">
        <f>TEXT(RECEITAS[[#This Row],[Data]],"mmmm")</f>
        <v>dezembro</v>
      </c>
      <c r="F31" s="24">
        <f>YEAR(RECEITAS[[#This Row],[Data]])</f>
        <v>2024</v>
      </c>
    </row>
    <row r="32" spans="1:6" x14ac:dyDescent="0.25">
      <c r="A32" s="22" t="s">
        <v>0</v>
      </c>
      <c r="B32" s="23">
        <v>9000</v>
      </c>
      <c r="C32" s="65" t="s">
        <v>89</v>
      </c>
      <c r="D32" s="66">
        <v>45658</v>
      </c>
      <c r="E32" s="67" t="str">
        <f>TEXT(RECEITAS[[#This Row],[Data]],"mmmm")</f>
        <v>janeiro</v>
      </c>
      <c r="F32" s="24">
        <f>YEAR(RECEITAS[[#This Row],[Data]])</f>
        <v>2025</v>
      </c>
    </row>
    <row r="33" spans="1:6" x14ac:dyDescent="0.25">
      <c r="A33" s="22" t="s">
        <v>96</v>
      </c>
      <c r="B33" s="23">
        <v>300</v>
      </c>
      <c r="C33" s="65" t="s">
        <v>89</v>
      </c>
      <c r="D33" s="66">
        <v>45658</v>
      </c>
      <c r="E33" s="67" t="str">
        <f>TEXT(RECEITAS[[#This Row],[Data]],"mmmm")</f>
        <v>janeiro</v>
      </c>
      <c r="F33" s="24">
        <f>YEAR(RECEITAS[[#This Row],[Data]])</f>
        <v>2025</v>
      </c>
    </row>
    <row r="34" spans="1:6" x14ac:dyDescent="0.25">
      <c r="A34" s="22" t="s">
        <v>96</v>
      </c>
      <c r="B34" s="23">
        <v>1200</v>
      </c>
      <c r="C34" s="65" t="s">
        <v>89</v>
      </c>
      <c r="D34" s="66">
        <v>45658</v>
      </c>
      <c r="E34" s="67" t="str">
        <f>TEXT(RECEITAS[[#This Row],[Data]],"mmmm")</f>
        <v>janeiro</v>
      </c>
      <c r="F34" s="24">
        <f>YEAR(RECEITAS[[#This Row],[Data]])</f>
        <v>2025</v>
      </c>
    </row>
    <row r="35" spans="1:6" x14ac:dyDescent="0.25">
      <c r="A35" s="22" t="s">
        <v>0</v>
      </c>
      <c r="B35" s="23">
        <v>9000</v>
      </c>
      <c r="C35" s="65" t="s">
        <v>89</v>
      </c>
      <c r="D35" s="66">
        <v>45689</v>
      </c>
      <c r="E35" s="67" t="str">
        <f>TEXT(RECEITAS[[#This Row],[Data]],"mmmm")</f>
        <v>fevereiro</v>
      </c>
      <c r="F35" s="24">
        <f>YEAR(RECEITAS[[#This Row],[Data]])</f>
        <v>2025</v>
      </c>
    </row>
    <row r="36" spans="1:6" x14ac:dyDescent="0.25">
      <c r="A36" s="22" t="s">
        <v>96</v>
      </c>
      <c r="B36" s="23">
        <v>980</v>
      </c>
      <c r="C36" s="65" t="s">
        <v>89</v>
      </c>
      <c r="D36" s="66">
        <v>45689</v>
      </c>
      <c r="E36" s="67" t="str">
        <f>TEXT(RECEITAS[[#This Row],[Data]],"mmmm")</f>
        <v>fevereiro</v>
      </c>
      <c r="F36" s="24">
        <f>YEAR(RECEITAS[[#This Row],[Data]])</f>
        <v>2025</v>
      </c>
    </row>
    <row r="37" spans="1:6" x14ac:dyDescent="0.25">
      <c r="A37" s="22" t="s">
        <v>96</v>
      </c>
      <c r="B37" s="23">
        <v>1150</v>
      </c>
      <c r="C37" s="65" t="s">
        <v>111</v>
      </c>
      <c r="D37" s="66">
        <v>45689</v>
      </c>
      <c r="E37" s="67" t="str">
        <f>TEXT(RECEITAS[[#This Row],[Data]],"mmmm")</f>
        <v>fevereiro</v>
      </c>
      <c r="F37" s="24">
        <f>YEAR(RECEITAS[[#This Row],[Data]])</f>
        <v>2025</v>
      </c>
    </row>
    <row r="38" spans="1:6" x14ac:dyDescent="0.25">
      <c r="A38" s="22" t="s">
        <v>0</v>
      </c>
      <c r="B38" s="23">
        <v>9000</v>
      </c>
      <c r="C38" s="65" t="s">
        <v>89</v>
      </c>
      <c r="D38" s="66">
        <v>45717</v>
      </c>
      <c r="E38" s="67" t="str">
        <f>TEXT(RECEITAS[[#This Row],[Data]],"mmmm")</f>
        <v>março</v>
      </c>
      <c r="F38" s="24">
        <f>YEAR(RECEITAS[[#This Row],[Data]])</f>
        <v>2025</v>
      </c>
    </row>
    <row r="39" spans="1:6" x14ac:dyDescent="0.25">
      <c r="A39" s="22" t="s">
        <v>96</v>
      </c>
      <c r="B39" s="23">
        <v>320</v>
      </c>
      <c r="C39" s="65" t="s">
        <v>89</v>
      </c>
      <c r="D39" s="66">
        <v>45717</v>
      </c>
      <c r="E39" s="67" t="str">
        <f>TEXT(RECEITAS[[#This Row],[Data]],"mmmm")</f>
        <v>março</v>
      </c>
      <c r="F39" s="24">
        <f>YEAR(RECEITAS[[#This Row],[Data]])</f>
        <v>2025</v>
      </c>
    </row>
    <row r="40" spans="1:6" x14ac:dyDescent="0.25">
      <c r="A40" s="22" t="s">
        <v>96</v>
      </c>
      <c r="B40" s="23">
        <v>2200</v>
      </c>
      <c r="C40" s="65" t="s">
        <v>111</v>
      </c>
      <c r="D40" s="66">
        <v>45717</v>
      </c>
      <c r="E40" s="67" t="str">
        <f>TEXT(RECEITAS[[#This Row],[Data]],"mmmm")</f>
        <v>março</v>
      </c>
      <c r="F40" s="24">
        <f>YEAR(RECEITAS[[#This Row],[Data]])</f>
        <v>2025</v>
      </c>
    </row>
    <row r="41" spans="1:6" x14ac:dyDescent="0.25">
      <c r="A41" s="22" t="s">
        <v>0</v>
      </c>
      <c r="B41" s="23">
        <v>9000</v>
      </c>
      <c r="C41" s="65" t="s">
        <v>111</v>
      </c>
      <c r="D41" s="66">
        <v>45748</v>
      </c>
      <c r="E41" s="67" t="str">
        <f>TEXT(RECEITAS[[#This Row],[Data]],"mmmm")</f>
        <v>abril</v>
      </c>
      <c r="F41" s="24">
        <f>YEAR(RECEITAS[[#This Row],[Data]])</f>
        <v>2025</v>
      </c>
    </row>
    <row r="42" spans="1:6" x14ac:dyDescent="0.25">
      <c r="A42" s="22" t="s">
        <v>96</v>
      </c>
      <c r="B42" s="23">
        <v>800</v>
      </c>
      <c r="C42" s="65" t="s">
        <v>89</v>
      </c>
      <c r="D42" s="66">
        <v>45748</v>
      </c>
      <c r="E42" s="67" t="str">
        <f>TEXT(RECEITAS[[#This Row],[Data]],"mmmm")</f>
        <v>abril</v>
      </c>
      <c r="F42" s="24">
        <f>YEAR(RECEITAS[[#This Row],[Data]])</f>
        <v>2025</v>
      </c>
    </row>
    <row r="43" spans="1:6" x14ac:dyDescent="0.25">
      <c r="A43" s="22" t="s">
        <v>96</v>
      </c>
      <c r="B43" s="23">
        <v>920</v>
      </c>
      <c r="C43" s="65" t="s">
        <v>111</v>
      </c>
      <c r="D43" s="66">
        <v>45748</v>
      </c>
      <c r="E43" s="67" t="str">
        <f>TEXT(RECEITAS[[#This Row],[Data]],"mmmm")</f>
        <v>abril</v>
      </c>
      <c r="F43" s="24">
        <f>YEAR(RECEITAS[[#This Row],[Data]])</f>
        <v>2025</v>
      </c>
    </row>
    <row r="44" spans="1:6" x14ac:dyDescent="0.25">
      <c r="A44" s="22" t="s">
        <v>0</v>
      </c>
      <c r="B44" s="23">
        <v>9000</v>
      </c>
      <c r="C44" s="65" t="s">
        <v>89</v>
      </c>
      <c r="D44" s="66">
        <v>45778</v>
      </c>
      <c r="E44" s="67" t="str">
        <f>TEXT(RECEITAS[[#This Row],[Data]],"mmmm")</f>
        <v>maio</v>
      </c>
      <c r="F44" s="24">
        <f>YEAR(RECEITAS[[#This Row],[Data]])</f>
        <v>2025</v>
      </c>
    </row>
    <row r="45" spans="1:6" x14ac:dyDescent="0.25">
      <c r="A45" s="22" t="s">
        <v>96</v>
      </c>
      <c r="B45" s="23">
        <v>780</v>
      </c>
      <c r="C45" s="65" t="s">
        <v>89</v>
      </c>
      <c r="D45" s="66">
        <v>45778</v>
      </c>
      <c r="E45" s="67" t="str">
        <f>TEXT(RECEITAS[[#This Row],[Data]],"mmmm")</f>
        <v>maio</v>
      </c>
      <c r="F45" s="24">
        <f>YEAR(RECEITAS[[#This Row],[Data]])</f>
        <v>2025</v>
      </c>
    </row>
    <row r="46" spans="1:6" x14ac:dyDescent="0.25">
      <c r="A46" s="22" t="s">
        <v>96</v>
      </c>
      <c r="B46" s="23">
        <v>1240</v>
      </c>
      <c r="C46" s="65" t="s">
        <v>89</v>
      </c>
      <c r="D46" s="66">
        <v>45778</v>
      </c>
      <c r="E46" s="67" t="str">
        <f>TEXT(RECEITAS[[#This Row],[Data]],"mmmm")</f>
        <v>maio</v>
      </c>
      <c r="F46" s="24">
        <f>YEAR(RECEITAS[[#This Row],[Data]])</f>
        <v>2025</v>
      </c>
    </row>
    <row r="47" spans="1:6" x14ac:dyDescent="0.25">
      <c r="A47" s="22" t="s">
        <v>0</v>
      </c>
      <c r="B47" s="23">
        <v>9000</v>
      </c>
      <c r="C47" s="65" t="s">
        <v>111</v>
      </c>
      <c r="D47" s="66">
        <v>45809</v>
      </c>
      <c r="E47" s="67" t="str">
        <f>TEXT(RECEITAS[[#This Row],[Data]],"mmmm")</f>
        <v>junho</v>
      </c>
      <c r="F47" s="24">
        <f>YEAR(RECEITAS[[#This Row],[Data]])</f>
        <v>2025</v>
      </c>
    </row>
    <row r="48" spans="1:6" x14ac:dyDescent="0.25">
      <c r="A48" s="22" t="s">
        <v>96</v>
      </c>
      <c r="B48" s="23">
        <v>670</v>
      </c>
      <c r="C48" s="65" t="s">
        <v>89</v>
      </c>
      <c r="D48" s="66">
        <v>45809</v>
      </c>
      <c r="E48" s="67" t="str">
        <f>TEXT(RECEITAS[[#This Row],[Data]],"mmmm")</f>
        <v>junho</v>
      </c>
      <c r="F48" s="24">
        <f>YEAR(RECEITAS[[#This Row],[Data]])</f>
        <v>2025</v>
      </c>
    </row>
    <row r="49" spans="1:6" x14ac:dyDescent="0.25">
      <c r="A49" s="22" t="s">
        <v>96</v>
      </c>
      <c r="B49" s="23">
        <v>980</v>
      </c>
      <c r="C49" s="65" t="s">
        <v>89</v>
      </c>
      <c r="D49" s="66">
        <v>45809</v>
      </c>
      <c r="E49" s="67" t="str">
        <f>TEXT(RECEITAS[[#This Row],[Data]],"mmmm")</f>
        <v>junho</v>
      </c>
      <c r="F49" s="24">
        <f>YEAR(RECEITAS[[#This Row],[Data]])</f>
        <v>2025</v>
      </c>
    </row>
    <row r="50" spans="1:6" x14ac:dyDescent="0.25">
      <c r="A50" s="22" t="s">
        <v>96</v>
      </c>
      <c r="B50" s="23">
        <v>2500</v>
      </c>
      <c r="C50" s="65" t="s">
        <v>89</v>
      </c>
      <c r="D50" s="66">
        <v>45812</v>
      </c>
      <c r="E50" s="67" t="str">
        <f>TEXT(RECEITAS[[#This Row],[Data]],"mmmm")</f>
        <v>junho</v>
      </c>
      <c r="F50" s="24">
        <f>YEAR(RECEITAS[[#This Row],[Data]])</f>
        <v>2025</v>
      </c>
    </row>
    <row r="51" spans="1:6" x14ac:dyDescent="0.25">
      <c r="A51" s="22" t="s">
        <v>0</v>
      </c>
      <c r="B51" s="89">
        <v>9000</v>
      </c>
      <c r="C51" s="90" t="s">
        <v>90</v>
      </c>
      <c r="D51" s="66">
        <v>45839</v>
      </c>
      <c r="E51" s="67" t="str">
        <f>TEXT(RECEITAS[[#This Row],[Data]],"mmmm")</f>
        <v>julho</v>
      </c>
      <c r="F51" s="24">
        <f>YEAR(RECEITAS[[#This Row],[Data]])</f>
        <v>2025</v>
      </c>
    </row>
    <row r="52" spans="1:6" x14ac:dyDescent="0.25">
      <c r="A52" s="22" t="s">
        <v>0</v>
      </c>
      <c r="B52" s="89">
        <v>9000</v>
      </c>
      <c r="C52" s="90" t="s">
        <v>90</v>
      </c>
      <c r="D52" s="66">
        <v>45870</v>
      </c>
      <c r="E52" s="67" t="str">
        <f>TEXT(RECEITAS[[#This Row],[Data]],"mmmm")</f>
        <v>agosto</v>
      </c>
      <c r="F52" s="24">
        <f>YEAR(RECEITAS[[#This Row],[Data]])</f>
        <v>2025</v>
      </c>
    </row>
    <row r="53" spans="1:6" x14ac:dyDescent="0.25">
      <c r="A53" s="22" t="s">
        <v>0</v>
      </c>
      <c r="B53" s="89">
        <v>9000</v>
      </c>
      <c r="C53" s="90" t="s">
        <v>90</v>
      </c>
      <c r="D53" s="66">
        <v>45901</v>
      </c>
      <c r="E53" s="67" t="str">
        <f>TEXT(RECEITAS[[#This Row],[Data]],"mmmm")</f>
        <v>setembro</v>
      </c>
      <c r="F53" s="24">
        <f>YEAR(RECEITAS[[#This Row],[Data]])</f>
        <v>2025</v>
      </c>
    </row>
    <row r="54" spans="1:6" x14ac:dyDescent="0.25">
      <c r="A54" s="22" t="s">
        <v>0</v>
      </c>
      <c r="B54" s="89">
        <v>9000</v>
      </c>
      <c r="C54" s="90" t="s">
        <v>90</v>
      </c>
      <c r="D54" s="66">
        <v>45931</v>
      </c>
      <c r="E54" s="67" t="str">
        <f>TEXT(RECEITAS[[#This Row],[Data]],"mmmm")</f>
        <v>outubro</v>
      </c>
      <c r="F54" s="24">
        <f>YEAR(RECEITAS[[#This Row],[Data]])</f>
        <v>2025</v>
      </c>
    </row>
    <row r="55" spans="1:6" x14ac:dyDescent="0.25">
      <c r="A55" s="22" t="s">
        <v>0</v>
      </c>
      <c r="B55" s="89">
        <v>9000</v>
      </c>
      <c r="C55" s="90" t="s">
        <v>90</v>
      </c>
      <c r="D55" s="66">
        <v>45962</v>
      </c>
      <c r="E55" s="67" t="str">
        <f>TEXT(RECEITAS[[#This Row],[Data]],"mmmm")</f>
        <v>novembro</v>
      </c>
      <c r="F55" s="24">
        <f>YEAR(RECEITAS[[#This Row],[Data]])</f>
        <v>2025</v>
      </c>
    </row>
    <row r="56" spans="1:6" x14ac:dyDescent="0.25">
      <c r="A56" s="22" t="s">
        <v>0</v>
      </c>
      <c r="B56" s="89">
        <v>9000</v>
      </c>
      <c r="C56" s="90" t="s">
        <v>90</v>
      </c>
      <c r="D56" s="66">
        <v>45992</v>
      </c>
      <c r="E56" s="67" t="str">
        <f>TEXT(RECEITAS[[#This Row],[Data]],"mmmm")</f>
        <v>dezembro</v>
      </c>
      <c r="F56" s="24">
        <f>YEAR(RECEITAS[[#This Row],[Data]])</f>
        <v>2025</v>
      </c>
    </row>
    <row r="57" spans="1:6" x14ac:dyDescent="0.25">
      <c r="A57" s="22" t="s">
        <v>174</v>
      </c>
      <c r="B57" s="89">
        <v>1200</v>
      </c>
      <c r="C57" s="90" t="s">
        <v>91</v>
      </c>
      <c r="D57" s="66">
        <v>45383</v>
      </c>
      <c r="E57" s="67" t="str">
        <f>TEXT(RECEITAS[[#This Row],[Data]],"mmmm")</f>
        <v>abril</v>
      </c>
      <c r="F57" s="24">
        <f>YEAR(RECEITAS[[#This Row],[Data]])</f>
        <v>2024</v>
      </c>
    </row>
    <row r="58" spans="1:6" x14ac:dyDescent="0.25">
      <c r="A58" s="22" t="s">
        <v>174</v>
      </c>
      <c r="B58" s="89">
        <v>300</v>
      </c>
      <c r="C58" s="90" t="s">
        <v>91</v>
      </c>
      <c r="D58" s="66">
        <v>45383</v>
      </c>
      <c r="E58" s="67" t="str">
        <f>TEXT(RECEITAS[[#This Row],[Data]],"mmmm")</f>
        <v>abril</v>
      </c>
      <c r="F58" s="24">
        <f>YEAR(RECEITAS[[#This Row],[Data]])</f>
        <v>2024</v>
      </c>
    </row>
    <row r="59" spans="1:6" x14ac:dyDescent="0.25">
      <c r="A59" s="22" t="s">
        <v>174</v>
      </c>
      <c r="B59" s="89">
        <v>145</v>
      </c>
      <c r="C59" s="90" t="s">
        <v>91</v>
      </c>
      <c r="D59" s="66">
        <v>45383</v>
      </c>
      <c r="E59" s="67" t="str">
        <f>TEXT(RECEITAS[[#This Row],[Data]],"mmmm")</f>
        <v>abril</v>
      </c>
      <c r="F59" s="24">
        <f>YEAR(RECEITAS[[#This Row],[Data]])</f>
        <v>2024</v>
      </c>
    </row>
    <row r="60" spans="1:6" x14ac:dyDescent="0.25">
      <c r="A60" s="22" t="s">
        <v>174</v>
      </c>
      <c r="B60" s="89">
        <v>1970</v>
      </c>
      <c r="C60" s="90" t="s">
        <v>91</v>
      </c>
      <c r="D60" s="66">
        <v>45383</v>
      </c>
      <c r="E60" s="67" t="str">
        <f>TEXT(RECEITAS[[#This Row],[Data]],"mmmm")</f>
        <v>abril</v>
      </c>
      <c r="F60" s="24">
        <f>YEAR(RECEITAS[[#This Row],[Data]])</f>
        <v>2024</v>
      </c>
    </row>
    <row r="61" spans="1:6" x14ac:dyDescent="0.25">
      <c r="A61" s="22" t="s">
        <v>174</v>
      </c>
      <c r="B61" s="89">
        <v>1200</v>
      </c>
      <c r="C61" s="90" t="s">
        <v>91</v>
      </c>
      <c r="D61" s="66">
        <v>45931</v>
      </c>
      <c r="E61" s="67" t="str">
        <f>TEXT(RECEITAS[[#This Row],[Data]],"mmmm")</f>
        <v>outubro</v>
      </c>
      <c r="F61" s="24">
        <f>YEAR(RECEITAS[[#This Row],[Data]])</f>
        <v>2025</v>
      </c>
    </row>
    <row r="62" spans="1:6" x14ac:dyDescent="0.25">
      <c r="A62" s="22" t="s">
        <v>1</v>
      </c>
      <c r="B62" s="89">
        <v>2000</v>
      </c>
      <c r="C62" s="65" t="s">
        <v>89</v>
      </c>
      <c r="D62" s="66">
        <v>45992</v>
      </c>
      <c r="E62" s="67" t="str">
        <f>TEXT(RECEITAS[[#This Row],[Data]],"mmmm")</f>
        <v>dezembro</v>
      </c>
      <c r="F62" s="24">
        <f>YEAR(RECEITAS[[#This Row],[Data]])</f>
        <v>2025</v>
      </c>
    </row>
    <row r="63" spans="1:6" x14ac:dyDescent="0.25">
      <c r="A63" s="22" t="s">
        <v>2</v>
      </c>
      <c r="B63" s="89">
        <v>2000</v>
      </c>
      <c r="C63" s="65" t="s">
        <v>89</v>
      </c>
      <c r="D63" s="66">
        <v>45992</v>
      </c>
      <c r="E63" s="67" t="str">
        <f>TEXT(RECEITAS[[#This Row],[Data]],"mmmm")</f>
        <v>dezembro</v>
      </c>
      <c r="F63" s="24">
        <f>YEAR(RECEITAS[[#This Row],[Data]])</f>
        <v>2025</v>
      </c>
    </row>
    <row r="64" spans="1:6" x14ac:dyDescent="0.25">
      <c r="A64" s="22" t="s">
        <v>2</v>
      </c>
      <c r="B64" s="89">
        <v>2000</v>
      </c>
      <c r="C64" s="65" t="s">
        <v>89</v>
      </c>
      <c r="D64" s="66">
        <v>45627</v>
      </c>
      <c r="E64" s="67" t="str">
        <f>TEXT(RECEITAS[[#This Row],[Data]],"mmmm")</f>
        <v>dezembro</v>
      </c>
      <c r="F64" s="24">
        <f>YEAR(RECEITAS[[#This Row],[Data]])</f>
        <v>2024</v>
      </c>
    </row>
  </sheetData>
  <dataValidations count="2">
    <dataValidation type="list" allowBlank="1" showInputMessage="1" showErrorMessage="1" sqref="A6:A64" xr:uid="{1BF2C6E2-1DF2-4829-AB3E-613DC842BC29}">
      <formula1>INDIRECT("RECEITA[Receita]")</formula1>
    </dataValidation>
    <dataValidation type="list" allowBlank="1" showInputMessage="1" showErrorMessage="1" sqref="C6:C64" xr:uid="{1D890F9A-9E50-4822-A08D-FD75744F57D8}">
      <formula1>INDIRECT("FONTE_DESTINO[Fonte/Destino]")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CC6F1-1FE5-4BB3-B4F0-BBC5A67BD285}">
  <sheetPr codeName="Planilha8"/>
  <dimension ref="A1:J99"/>
  <sheetViews>
    <sheetView showGridLines="0" zoomScale="84" zoomScaleNormal="84" workbookViewId="0">
      <pane ySplit="5" topLeftCell="A84" activePane="bottomLeft" state="frozen"/>
      <selection pane="bottomLeft" activeCell="J3" sqref="J3"/>
    </sheetView>
  </sheetViews>
  <sheetFormatPr defaultRowHeight="15" x14ac:dyDescent="0.25"/>
  <cols>
    <col min="1" max="1" width="22.42578125" customWidth="1"/>
    <col min="2" max="2" width="30.85546875" bestFit="1" customWidth="1"/>
    <col min="3" max="3" width="17.7109375" customWidth="1"/>
    <col min="4" max="4" width="18.85546875" customWidth="1"/>
    <col min="5" max="5" width="23.28515625" bestFit="1" customWidth="1"/>
    <col min="6" max="6" width="17.7109375" customWidth="1"/>
    <col min="7" max="7" width="12.42578125" customWidth="1"/>
    <col min="8" max="8" width="16.140625" customWidth="1"/>
    <col min="9" max="9" width="12.85546875" customWidth="1"/>
    <col min="10" max="10" width="11.140625" customWidth="1"/>
  </cols>
  <sheetData>
    <row r="1" spans="1:10" ht="53.25" customHeight="1" x14ac:dyDescent="0.5">
      <c r="A1" s="4"/>
      <c r="B1" s="1"/>
      <c r="C1" s="1"/>
    </row>
    <row r="2" spans="1:10" ht="11.25" customHeight="1" x14ac:dyDescent="0.5">
      <c r="A2" s="4"/>
      <c r="B2" s="1"/>
      <c r="C2" s="1"/>
    </row>
    <row r="3" spans="1:10" ht="23.25" customHeight="1" x14ac:dyDescent="0.5">
      <c r="A3" s="91" t="s">
        <v>92</v>
      </c>
      <c r="B3" s="2"/>
      <c r="C3" s="30" t="s">
        <v>42</v>
      </c>
      <c r="D3" s="31">
        <f>SUBTOTAL(9,DESPESAS[Valor R$])</f>
        <v>98887</v>
      </c>
      <c r="F3" s="5"/>
      <c r="H3" s="6"/>
      <c r="J3" s="3"/>
    </row>
    <row r="4" spans="1:10" ht="12" customHeight="1" x14ac:dyDescent="0.5">
      <c r="B4" s="2"/>
      <c r="C4" s="2"/>
      <c r="J4" s="3"/>
    </row>
    <row r="5" spans="1:10" ht="15.75" x14ac:dyDescent="0.25">
      <c r="A5" s="109" t="s">
        <v>115</v>
      </c>
      <c r="B5" s="109" t="s">
        <v>116</v>
      </c>
      <c r="C5" s="109" t="s">
        <v>106</v>
      </c>
      <c r="D5" s="109" t="s">
        <v>87</v>
      </c>
      <c r="E5" s="109" t="s">
        <v>98</v>
      </c>
      <c r="F5" s="109" t="s">
        <v>77</v>
      </c>
      <c r="G5" s="109" t="s">
        <v>86</v>
      </c>
      <c r="H5" s="109" t="s">
        <v>88</v>
      </c>
    </row>
    <row r="6" spans="1:10" x14ac:dyDescent="0.25">
      <c r="A6" s="22" t="s">
        <v>4</v>
      </c>
      <c r="B6" s="22" t="s">
        <v>5</v>
      </c>
      <c r="C6" s="22" t="s">
        <v>119</v>
      </c>
      <c r="D6" s="23">
        <v>980</v>
      </c>
      <c r="E6" s="65" t="s">
        <v>89</v>
      </c>
      <c r="F6" s="66">
        <v>45505</v>
      </c>
      <c r="G6" s="67" t="str">
        <f>TEXT(DESPESAS[[#This Row],[Data]],"mmmm")</f>
        <v>agosto</v>
      </c>
      <c r="H6" s="24">
        <f>YEAR(DESPESAS[[#This Row],[Data]])</f>
        <v>2024</v>
      </c>
    </row>
    <row r="7" spans="1:10" x14ac:dyDescent="0.25">
      <c r="A7" s="22" t="s">
        <v>8</v>
      </c>
      <c r="B7" s="22" t="s">
        <v>155</v>
      </c>
      <c r="C7" s="22" t="s">
        <v>120</v>
      </c>
      <c r="D7" s="23">
        <v>170</v>
      </c>
      <c r="E7" s="65" t="s">
        <v>90</v>
      </c>
      <c r="F7" s="66">
        <v>45301</v>
      </c>
      <c r="G7" s="67" t="str">
        <f>TEXT(DESPESAS[[#This Row],[Data]],"mmmm")</f>
        <v>janeiro</v>
      </c>
      <c r="H7" s="24">
        <f>YEAR(DESPESAS[[#This Row],[Data]])</f>
        <v>2024</v>
      </c>
    </row>
    <row r="8" spans="1:10" x14ac:dyDescent="0.25">
      <c r="A8" s="22" t="s">
        <v>19</v>
      </c>
      <c r="B8" s="22" t="s">
        <v>22</v>
      </c>
      <c r="C8" s="22" t="s">
        <v>120</v>
      </c>
      <c r="D8" s="23">
        <v>490</v>
      </c>
      <c r="E8" s="65" t="s">
        <v>90</v>
      </c>
      <c r="F8" s="66">
        <v>45303</v>
      </c>
      <c r="G8" s="67" t="str">
        <f>TEXT(DESPESAS[[#This Row],[Data]],"mmmm")</f>
        <v>janeiro</v>
      </c>
      <c r="H8" s="24">
        <f>YEAR(DESPESAS[[#This Row],[Data]])</f>
        <v>2024</v>
      </c>
    </row>
    <row r="9" spans="1:10" x14ac:dyDescent="0.25">
      <c r="A9" s="22" t="s">
        <v>8</v>
      </c>
      <c r="B9" s="22" t="s">
        <v>49</v>
      </c>
      <c r="C9" s="22" t="s">
        <v>119</v>
      </c>
      <c r="D9" s="23">
        <v>2050</v>
      </c>
      <c r="E9" s="65" t="s">
        <v>89</v>
      </c>
      <c r="F9" s="66">
        <v>45292</v>
      </c>
      <c r="G9" s="67" t="str">
        <f>TEXT(DESPESAS[[#This Row],[Data]],"mmmm")</f>
        <v>janeiro</v>
      </c>
      <c r="H9" s="24">
        <f>YEAR(DESPESAS[[#This Row],[Data]])</f>
        <v>2024</v>
      </c>
      <c r="J9" s="9"/>
    </row>
    <row r="10" spans="1:10" x14ac:dyDescent="0.25">
      <c r="A10" s="22" t="s">
        <v>8</v>
      </c>
      <c r="B10" s="22" t="s">
        <v>49</v>
      </c>
      <c r="C10" s="22" t="s">
        <v>119</v>
      </c>
      <c r="D10" s="23">
        <v>2050</v>
      </c>
      <c r="E10" s="65" t="s">
        <v>89</v>
      </c>
      <c r="F10" s="66">
        <v>45323</v>
      </c>
      <c r="G10" s="67" t="str">
        <f>TEXT(DESPESAS[[#This Row],[Data]],"mmmm")</f>
        <v>fevereiro</v>
      </c>
      <c r="H10" s="24">
        <f>YEAR(DESPESAS[[#This Row],[Data]])</f>
        <v>2024</v>
      </c>
      <c r="J10" s="9"/>
    </row>
    <row r="11" spans="1:10" x14ac:dyDescent="0.25">
      <c r="A11" s="22" t="s">
        <v>8</v>
      </c>
      <c r="B11" s="22" t="s">
        <v>49</v>
      </c>
      <c r="C11" s="22" t="s">
        <v>119</v>
      </c>
      <c r="D11" s="23">
        <v>2050</v>
      </c>
      <c r="E11" s="65" t="s">
        <v>89</v>
      </c>
      <c r="F11" s="66">
        <v>45352</v>
      </c>
      <c r="G11" s="67" t="str">
        <f>TEXT(DESPESAS[[#This Row],[Data]],"mmmm")</f>
        <v>março</v>
      </c>
      <c r="H11" s="24">
        <f>YEAR(DESPESAS[[#This Row],[Data]])</f>
        <v>2024</v>
      </c>
      <c r="J11" s="9"/>
    </row>
    <row r="12" spans="1:10" x14ac:dyDescent="0.25">
      <c r="A12" s="22" t="s">
        <v>8</v>
      </c>
      <c r="B12" s="22" t="s">
        <v>155</v>
      </c>
      <c r="C12" s="22" t="s">
        <v>120</v>
      </c>
      <c r="D12" s="23">
        <v>700</v>
      </c>
      <c r="E12" s="65" t="s">
        <v>90</v>
      </c>
      <c r="F12" s="66">
        <v>45361</v>
      </c>
      <c r="G12" s="67" t="str">
        <f>TEXT(DESPESAS[[#This Row],[Data]],"mmmm")</f>
        <v>março</v>
      </c>
      <c r="H12" s="24">
        <f>YEAR(DESPESAS[[#This Row],[Data]])</f>
        <v>2024</v>
      </c>
      <c r="J12" s="9"/>
    </row>
    <row r="13" spans="1:10" x14ac:dyDescent="0.25">
      <c r="A13" s="22" t="s">
        <v>13</v>
      </c>
      <c r="B13" s="22" t="s">
        <v>15</v>
      </c>
      <c r="C13" s="22" t="s">
        <v>120</v>
      </c>
      <c r="D13" s="23">
        <v>450</v>
      </c>
      <c r="E13" s="65" t="s">
        <v>111</v>
      </c>
      <c r="F13" s="66">
        <v>45416</v>
      </c>
      <c r="G13" s="67" t="str">
        <f>TEXT(DESPESAS[[#This Row],[Data]],"mmmm")</f>
        <v>maio</v>
      </c>
      <c r="H13" s="24">
        <f>YEAR(DESPESAS[[#This Row],[Data]])</f>
        <v>2024</v>
      </c>
      <c r="J13" s="9"/>
    </row>
    <row r="14" spans="1:10" x14ac:dyDescent="0.25">
      <c r="A14" s="22" t="s">
        <v>8</v>
      </c>
      <c r="B14" s="22" t="s">
        <v>11</v>
      </c>
      <c r="C14" s="22" t="s">
        <v>120</v>
      </c>
      <c r="D14" s="23">
        <v>320</v>
      </c>
      <c r="E14" s="65" t="s">
        <v>90</v>
      </c>
      <c r="F14" s="66">
        <v>45303</v>
      </c>
      <c r="G14" s="67" t="str">
        <f>TEXT(DESPESAS[[#This Row],[Data]],"mmmm")</f>
        <v>janeiro</v>
      </c>
      <c r="H14" s="24">
        <f>YEAR(DESPESAS[[#This Row],[Data]])</f>
        <v>2024</v>
      </c>
    </row>
    <row r="15" spans="1:10" x14ac:dyDescent="0.25">
      <c r="A15" s="22" t="s">
        <v>23</v>
      </c>
      <c r="B15" s="22" t="s">
        <v>68</v>
      </c>
      <c r="C15" s="22" t="s">
        <v>120</v>
      </c>
      <c r="D15" s="23">
        <v>1447</v>
      </c>
      <c r="E15" s="65" t="s">
        <v>90</v>
      </c>
      <c r="F15" s="66">
        <v>45427</v>
      </c>
      <c r="G15" s="67" t="str">
        <f>TEXT(DESPESAS[[#This Row],[Data]],"mmmm")</f>
        <v>maio</v>
      </c>
      <c r="H15" s="24">
        <f>YEAR(DESPESAS[[#This Row],[Data]])</f>
        <v>2024</v>
      </c>
    </row>
    <row r="16" spans="1:10" x14ac:dyDescent="0.25">
      <c r="A16" s="22" t="s">
        <v>19</v>
      </c>
      <c r="B16" s="22" t="s">
        <v>21</v>
      </c>
      <c r="C16" s="22" t="s">
        <v>120</v>
      </c>
      <c r="D16" s="23">
        <v>100</v>
      </c>
      <c r="E16" s="65" t="s">
        <v>89</v>
      </c>
      <c r="F16" s="66">
        <v>45366</v>
      </c>
      <c r="G16" s="67" t="str">
        <f>TEXT(DESPESAS[[#This Row],[Data]],"mmmm")</f>
        <v>março</v>
      </c>
      <c r="H16" s="24">
        <f>YEAR(DESPESAS[[#This Row],[Data]])</f>
        <v>2024</v>
      </c>
    </row>
    <row r="17" spans="1:8" x14ac:dyDescent="0.25">
      <c r="A17" s="22" t="s">
        <v>24</v>
      </c>
      <c r="B17" s="22" t="s">
        <v>71</v>
      </c>
      <c r="C17" s="22" t="s">
        <v>120</v>
      </c>
      <c r="D17" s="23">
        <v>265</v>
      </c>
      <c r="E17" s="65" t="s">
        <v>90</v>
      </c>
      <c r="F17" s="66">
        <v>45460</v>
      </c>
      <c r="G17" s="67" t="str">
        <f>TEXT(DESPESAS[[#This Row],[Data]],"mmmm")</f>
        <v>junho</v>
      </c>
      <c r="H17" s="24">
        <f>YEAR(DESPESAS[[#This Row],[Data]])</f>
        <v>2024</v>
      </c>
    </row>
    <row r="18" spans="1:8" x14ac:dyDescent="0.25">
      <c r="A18" s="22" t="s">
        <v>8</v>
      </c>
      <c r="B18" s="22" t="s">
        <v>155</v>
      </c>
      <c r="C18" s="22" t="s">
        <v>120</v>
      </c>
      <c r="D18" s="23">
        <v>340</v>
      </c>
      <c r="E18" s="65" t="s">
        <v>90</v>
      </c>
      <c r="F18" s="66">
        <v>45292</v>
      </c>
      <c r="G18" s="67" t="str">
        <f>TEXT(DESPESAS[[#This Row],[Data]],"mmmm")</f>
        <v>janeiro</v>
      </c>
      <c r="H18" s="24">
        <f>YEAR(DESPESAS[[#This Row],[Data]])</f>
        <v>2024</v>
      </c>
    </row>
    <row r="19" spans="1:8" x14ac:dyDescent="0.25">
      <c r="A19" s="22" t="s">
        <v>85</v>
      </c>
      <c r="B19" s="22" t="s">
        <v>75</v>
      </c>
      <c r="C19" s="22" t="s">
        <v>120</v>
      </c>
      <c r="D19" s="23">
        <v>480</v>
      </c>
      <c r="E19" s="65" t="s">
        <v>90</v>
      </c>
      <c r="F19" s="66">
        <v>45335</v>
      </c>
      <c r="G19" s="67" t="str">
        <f>TEXT(DESPESAS[[#This Row],[Data]],"mmmm")</f>
        <v>fevereiro</v>
      </c>
      <c r="H19" s="24">
        <f>YEAR(DESPESAS[[#This Row],[Data]])</f>
        <v>2024</v>
      </c>
    </row>
    <row r="20" spans="1:8" x14ac:dyDescent="0.25">
      <c r="A20" s="22" t="s">
        <v>13</v>
      </c>
      <c r="B20" s="22" t="s">
        <v>14</v>
      </c>
      <c r="C20" s="22" t="s">
        <v>120</v>
      </c>
      <c r="D20" s="23">
        <v>245</v>
      </c>
      <c r="E20" s="65" t="s">
        <v>89</v>
      </c>
      <c r="F20" s="66">
        <v>45399</v>
      </c>
      <c r="G20" s="67" t="str">
        <f>TEXT(DESPESAS[[#This Row],[Data]],"mmmm")</f>
        <v>abril</v>
      </c>
      <c r="H20" s="24">
        <f>YEAR(DESPESAS[[#This Row],[Data]])</f>
        <v>2024</v>
      </c>
    </row>
    <row r="21" spans="1:8" x14ac:dyDescent="0.25">
      <c r="A21" s="22" t="s">
        <v>84</v>
      </c>
      <c r="B21" s="22" t="s">
        <v>56</v>
      </c>
      <c r="C21" s="22" t="s">
        <v>120</v>
      </c>
      <c r="D21" s="23">
        <v>1960</v>
      </c>
      <c r="E21" s="65" t="s">
        <v>89</v>
      </c>
      <c r="F21" s="66">
        <v>45333</v>
      </c>
      <c r="G21" s="67" t="str">
        <f>TEXT(DESPESAS[[#This Row],[Data]],"mmmm")</f>
        <v>fevereiro</v>
      </c>
      <c r="H21" s="24">
        <f>YEAR(DESPESAS[[#This Row],[Data]])</f>
        <v>2024</v>
      </c>
    </row>
    <row r="22" spans="1:8" x14ac:dyDescent="0.25">
      <c r="A22" s="22" t="s">
        <v>8</v>
      </c>
      <c r="B22" s="22" t="s">
        <v>49</v>
      </c>
      <c r="C22" s="22" t="s">
        <v>120</v>
      </c>
      <c r="D22" s="23">
        <v>2050</v>
      </c>
      <c r="E22" s="65" t="s">
        <v>89</v>
      </c>
      <c r="F22" s="66">
        <v>45383</v>
      </c>
      <c r="G22" s="67" t="str">
        <f>TEXT(DESPESAS[[#This Row],[Data]],"mmmm")</f>
        <v>abril</v>
      </c>
      <c r="H22" s="24">
        <f>YEAR(DESPESAS[[#This Row],[Data]])</f>
        <v>2024</v>
      </c>
    </row>
    <row r="23" spans="1:8" x14ac:dyDescent="0.25">
      <c r="A23" s="22" t="s">
        <v>8</v>
      </c>
      <c r="B23" s="22" t="s">
        <v>49</v>
      </c>
      <c r="C23" s="22" t="s">
        <v>119</v>
      </c>
      <c r="D23" s="23">
        <v>2050</v>
      </c>
      <c r="E23" s="65" t="s">
        <v>89</v>
      </c>
      <c r="F23" s="66">
        <v>45413</v>
      </c>
      <c r="G23" s="67" t="str">
        <f>TEXT(DESPESAS[[#This Row],[Data]],"mmmm")</f>
        <v>maio</v>
      </c>
      <c r="H23" s="24">
        <f>YEAR(DESPESAS[[#This Row],[Data]])</f>
        <v>2024</v>
      </c>
    </row>
    <row r="24" spans="1:8" x14ac:dyDescent="0.25">
      <c r="A24" s="22" t="s">
        <v>8</v>
      </c>
      <c r="B24" s="22" t="s">
        <v>49</v>
      </c>
      <c r="C24" s="22" t="s">
        <v>119</v>
      </c>
      <c r="D24" s="23">
        <v>2050</v>
      </c>
      <c r="E24" s="65" t="s">
        <v>89</v>
      </c>
      <c r="F24" s="66">
        <v>45444</v>
      </c>
      <c r="G24" s="67" t="str">
        <f>TEXT(DESPESAS[[#This Row],[Data]],"mmmm")</f>
        <v>junho</v>
      </c>
      <c r="H24" s="24">
        <f>YEAR(DESPESAS[[#This Row],[Data]])</f>
        <v>2024</v>
      </c>
    </row>
    <row r="25" spans="1:8" x14ac:dyDescent="0.25">
      <c r="A25" s="22" t="s">
        <v>23</v>
      </c>
      <c r="B25" s="22" t="s">
        <v>67</v>
      </c>
      <c r="C25" s="22" t="s">
        <v>120</v>
      </c>
      <c r="D25" s="23">
        <v>540</v>
      </c>
      <c r="E25" s="65" t="s">
        <v>90</v>
      </c>
      <c r="F25" s="66">
        <v>45485</v>
      </c>
      <c r="G25" s="67" t="str">
        <f>TEXT(DESPESAS[[#This Row],[Data]],"mmmm")</f>
        <v>julho</v>
      </c>
      <c r="H25" s="24">
        <f>YEAR(DESPESAS[[#This Row],[Data]])</f>
        <v>2024</v>
      </c>
    </row>
    <row r="26" spans="1:8" x14ac:dyDescent="0.25">
      <c r="A26" s="22" t="s">
        <v>8</v>
      </c>
      <c r="B26" s="22" t="s">
        <v>49</v>
      </c>
      <c r="C26" s="22" t="s">
        <v>119</v>
      </c>
      <c r="D26" s="23">
        <v>2050</v>
      </c>
      <c r="E26" s="65" t="s">
        <v>89</v>
      </c>
      <c r="F26" s="66">
        <v>45474</v>
      </c>
      <c r="G26" s="67" t="str">
        <f>TEXT(DESPESAS[[#This Row],[Data]],"mmmm")</f>
        <v>julho</v>
      </c>
      <c r="H26" s="24">
        <f>YEAR(DESPESAS[[#This Row],[Data]])</f>
        <v>2024</v>
      </c>
    </row>
    <row r="27" spans="1:8" x14ac:dyDescent="0.25">
      <c r="A27" s="22" t="s">
        <v>16</v>
      </c>
      <c r="B27" s="22" t="s">
        <v>58</v>
      </c>
      <c r="C27" s="22" t="s">
        <v>119</v>
      </c>
      <c r="D27" s="23">
        <v>1000</v>
      </c>
      <c r="E27" s="65" t="s">
        <v>89</v>
      </c>
      <c r="F27" s="66">
        <v>45505</v>
      </c>
      <c r="G27" s="67" t="str">
        <f>TEXT(DESPESAS[[#This Row],[Data]],"mmmm")</f>
        <v>agosto</v>
      </c>
      <c r="H27" s="24">
        <f>YEAR(DESPESAS[[#This Row],[Data]])</f>
        <v>2024</v>
      </c>
    </row>
    <row r="28" spans="1:8" x14ac:dyDescent="0.25">
      <c r="A28" s="22" t="s">
        <v>8</v>
      </c>
      <c r="B28" s="22" t="s">
        <v>49</v>
      </c>
      <c r="C28" s="22" t="s">
        <v>119</v>
      </c>
      <c r="D28" s="23">
        <v>2050</v>
      </c>
      <c r="E28" s="65" t="s">
        <v>89</v>
      </c>
      <c r="F28" s="66">
        <v>45507</v>
      </c>
      <c r="G28" s="67" t="str">
        <f>TEXT(DESPESAS[[#This Row],[Data]],"mmmm")</f>
        <v>agosto</v>
      </c>
      <c r="H28" s="24">
        <f>YEAR(DESPESAS[[#This Row],[Data]])</f>
        <v>2024</v>
      </c>
    </row>
    <row r="29" spans="1:8" x14ac:dyDescent="0.25">
      <c r="A29" s="22" t="s">
        <v>24</v>
      </c>
      <c r="B29" s="22" t="s">
        <v>71</v>
      </c>
      <c r="C29" s="22" t="s">
        <v>120</v>
      </c>
      <c r="D29" s="23">
        <v>350</v>
      </c>
      <c r="E29" s="65" t="s">
        <v>90</v>
      </c>
      <c r="F29" s="66">
        <v>45514</v>
      </c>
      <c r="G29" s="67" t="str">
        <f>TEXT(DESPESAS[[#This Row],[Data]],"mmmm")</f>
        <v>agosto</v>
      </c>
      <c r="H29" s="24">
        <f>YEAR(DESPESAS[[#This Row],[Data]])</f>
        <v>2024</v>
      </c>
    </row>
    <row r="30" spans="1:8" x14ac:dyDescent="0.25">
      <c r="A30" s="22" t="s">
        <v>8</v>
      </c>
      <c r="B30" s="22" t="s">
        <v>49</v>
      </c>
      <c r="C30" s="22" t="s">
        <v>119</v>
      </c>
      <c r="D30" s="23">
        <v>2050</v>
      </c>
      <c r="E30" s="65" t="s">
        <v>89</v>
      </c>
      <c r="F30" s="66">
        <v>45536</v>
      </c>
      <c r="G30" s="67" t="str">
        <f>TEXT(DESPESAS[[#This Row],[Data]],"mmmm")</f>
        <v>setembro</v>
      </c>
      <c r="H30" s="24">
        <f>YEAR(DESPESAS[[#This Row],[Data]])</f>
        <v>2024</v>
      </c>
    </row>
    <row r="31" spans="1:8" x14ac:dyDescent="0.25">
      <c r="A31" s="22" t="s">
        <v>4</v>
      </c>
      <c r="B31" s="22" t="s">
        <v>5</v>
      </c>
      <c r="C31" s="22" t="s">
        <v>120</v>
      </c>
      <c r="D31" s="23">
        <v>1500</v>
      </c>
      <c r="E31" s="65" t="s">
        <v>89</v>
      </c>
      <c r="F31" s="66">
        <v>45536</v>
      </c>
      <c r="G31" s="67" t="str">
        <f>TEXT(DESPESAS[[#This Row],[Data]],"mmmm")</f>
        <v>setembro</v>
      </c>
      <c r="H31" s="24">
        <f>YEAR(DESPESAS[[#This Row],[Data]])</f>
        <v>2024</v>
      </c>
    </row>
    <row r="32" spans="1:8" x14ac:dyDescent="0.25">
      <c r="A32" s="22" t="s">
        <v>16</v>
      </c>
      <c r="B32" s="22" t="s">
        <v>58</v>
      </c>
      <c r="C32" s="22" t="s">
        <v>119</v>
      </c>
      <c r="D32" s="23">
        <v>1000</v>
      </c>
      <c r="E32" s="65" t="s">
        <v>89</v>
      </c>
      <c r="F32" s="66">
        <v>45536</v>
      </c>
      <c r="G32" s="67" t="str">
        <f>TEXT(DESPESAS[[#This Row],[Data]],"mmmm")</f>
        <v>setembro</v>
      </c>
      <c r="H32" s="24">
        <f>YEAR(DESPESAS[[#This Row],[Data]])</f>
        <v>2024</v>
      </c>
    </row>
    <row r="33" spans="1:8" x14ac:dyDescent="0.25">
      <c r="A33" s="22" t="s">
        <v>19</v>
      </c>
      <c r="B33" s="22" t="s">
        <v>62</v>
      </c>
      <c r="C33" s="22" t="s">
        <v>120</v>
      </c>
      <c r="D33" s="23">
        <v>340</v>
      </c>
      <c r="E33" s="65" t="s">
        <v>89</v>
      </c>
      <c r="F33" s="66">
        <v>45536</v>
      </c>
      <c r="G33" s="67" t="str">
        <f>TEXT(DESPESAS[[#This Row],[Data]],"mmmm")</f>
        <v>setembro</v>
      </c>
      <c r="H33" s="24">
        <f>YEAR(DESPESAS[[#This Row],[Data]])</f>
        <v>2024</v>
      </c>
    </row>
    <row r="34" spans="1:8" x14ac:dyDescent="0.25">
      <c r="A34" s="22" t="s">
        <v>24</v>
      </c>
      <c r="B34" s="22" t="s">
        <v>70</v>
      </c>
      <c r="C34" s="22" t="s">
        <v>120</v>
      </c>
      <c r="D34" s="23">
        <v>500</v>
      </c>
      <c r="E34" s="65" t="s">
        <v>89</v>
      </c>
      <c r="F34" s="66">
        <v>45536</v>
      </c>
      <c r="G34" s="67" t="str">
        <f>TEXT(DESPESAS[[#This Row],[Data]],"mmmm")</f>
        <v>setembro</v>
      </c>
      <c r="H34" s="24">
        <f>YEAR(DESPESAS[[#This Row],[Data]])</f>
        <v>2024</v>
      </c>
    </row>
    <row r="35" spans="1:8" x14ac:dyDescent="0.25">
      <c r="A35" s="22" t="s">
        <v>19</v>
      </c>
      <c r="B35" s="22" t="s">
        <v>43</v>
      </c>
      <c r="C35" s="22" t="s">
        <v>120</v>
      </c>
      <c r="D35" s="23">
        <v>340</v>
      </c>
      <c r="E35" s="65" t="s">
        <v>89</v>
      </c>
      <c r="F35" s="66">
        <v>45536</v>
      </c>
      <c r="G35" s="67" t="str">
        <f>TEXT(DESPESAS[[#This Row],[Data]],"mmmm")</f>
        <v>setembro</v>
      </c>
      <c r="H35" s="24">
        <f>YEAR(DESPESAS[[#This Row],[Data]])</f>
        <v>2024</v>
      </c>
    </row>
    <row r="36" spans="1:8" x14ac:dyDescent="0.25">
      <c r="A36" s="22" t="s">
        <v>13</v>
      </c>
      <c r="B36" s="22" t="s">
        <v>15</v>
      </c>
      <c r="C36" s="22" t="s">
        <v>120</v>
      </c>
      <c r="D36" s="23">
        <v>100</v>
      </c>
      <c r="E36" s="65" t="s">
        <v>90</v>
      </c>
      <c r="F36" s="66">
        <v>45537</v>
      </c>
      <c r="G36" s="67" t="str">
        <f>TEXT(DESPESAS[[#This Row],[Data]],"mmmm")</f>
        <v>setembro</v>
      </c>
      <c r="H36" s="24">
        <f>YEAR(DESPESAS[[#This Row],[Data]])</f>
        <v>2024</v>
      </c>
    </row>
    <row r="37" spans="1:8" x14ac:dyDescent="0.25">
      <c r="A37" s="22" t="s">
        <v>8</v>
      </c>
      <c r="B37" s="22" t="s">
        <v>49</v>
      </c>
      <c r="C37" s="22" t="s">
        <v>119</v>
      </c>
      <c r="D37" s="23">
        <v>2050</v>
      </c>
      <c r="E37" s="65" t="s">
        <v>89</v>
      </c>
      <c r="F37" s="66">
        <v>45566</v>
      </c>
      <c r="G37" s="67" t="str">
        <f>TEXT(DESPESAS[[#This Row],[Data]],"mmmm")</f>
        <v>outubro</v>
      </c>
      <c r="H37" s="24">
        <f>YEAR(DESPESAS[[#This Row],[Data]])</f>
        <v>2024</v>
      </c>
    </row>
    <row r="38" spans="1:8" x14ac:dyDescent="0.25">
      <c r="A38" s="22" t="s">
        <v>4</v>
      </c>
      <c r="B38" s="22" t="s">
        <v>5</v>
      </c>
      <c r="C38" s="22" t="s">
        <v>119</v>
      </c>
      <c r="D38" s="23">
        <v>1090</v>
      </c>
      <c r="E38" s="65" t="s">
        <v>89</v>
      </c>
      <c r="F38" s="66">
        <v>45566</v>
      </c>
      <c r="G38" s="67" t="str">
        <f>TEXT(DESPESAS[[#This Row],[Data]],"mmmm")</f>
        <v>outubro</v>
      </c>
      <c r="H38" s="24">
        <f>YEAR(DESPESAS[[#This Row],[Data]])</f>
        <v>2024</v>
      </c>
    </row>
    <row r="39" spans="1:8" x14ac:dyDescent="0.25">
      <c r="A39" s="22" t="s">
        <v>16</v>
      </c>
      <c r="B39" s="22" t="s">
        <v>58</v>
      </c>
      <c r="C39" s="22" t="s">
        <v>119</v>
      </c>
      <c r="D39" s="23">
        <v>1000</v>
      </c>
      <c r="E39" s="65" t="s">
        <v>89</v>
      </c>
      <c r="F39" s="66">
        <v>45566</v>
      </c>
      <c r="G39" s="67" t="str">
        <f>TEXT(DESPESAS[[#This Row],[Data]],"mmmm")</f>
        <v>outubro</v>
      </c>
      <c r="H39" s="24">
        <f>YEAR(DESPESAS[[#This Row],[Data]])</f>
        <v>2024</v>
      </c>
    </row>
    <row r="40" spans="1:8" x14ac:dyDescent="0.25">
      <c r="A40" s="22" t="s">
        <v>13</v>
      </c>
      <c r="B40" s="22" t="s">
        <v>15</v>
      </c>
      <c r="C40" s="22" t="s">
        <v>120</v>
      </c>
      <c r="D40" s="23">
        <v>100</v>
      </c>
      <c r="E40" s="65" t="s">
        <v>90</v>
      </c>
      <c r="F40" s="66">
        <v>45567</v>
      </c>
      <c r="G40" s="67" t="str">
        <f>TEXT(DESPESAS[[#This Row],[Data]],"mmmm")</f>
        <v>outubro</v>
      </c>
      <c r="H40" s="24">
        <f>YEAR(DESPESAS[[#This Row],[Data]])</f>
        <v>2024</v>
      </c>
    </row>
    <row r="41" spans="1:8" x14ac:dyDescent="0.25">
      <c r="A41" s="22" t="s">
        <v>23</v>
      </c>
      <c r="B41" s="22" t="s">
        <v>67</v>
      </c>
      <c r="C41" s="22" t="s">
        <v>119</v>
      </c>
      <c r="D41" s="23">
        <v>100</v>
      </c>
      <c r="E41" s="65" t="s">
        <v>89</v>
      </c>
      <c r="F41" s="66">
        <v>45576</v>
      </c>
      <c r="G41" s="67" t="str">
        <f>TEXT(DESPESAS[[#This Row],[Data]],"mmmm")</f>
        <v>outubro</v>
      </c>
      <c r="H41" s="24">
        <f>YEAR(DESPESAS[[#This Row],[Data]])</f>
        <v>2024</v>
      </c>
    </row>
    <row r="42" spans="1:8" x14ac:dyDescent="0.25">
      <c r="A42" s="22" t="s">
        <v>8</v>
      </c>
      <c r="B42" s="22" t="s">
        <v>49</v>
      </c>
      <c r="C42" s="22" t="s">
        <v>120</v>
      </c>
      <c r="D42" s="23">
        <v>2050</v>
      </c>
      <c r="E42" s="65" t="s">
        <v>89</v>
      </c>
      <c r="F42" s="66">
        <v>45597</v>
      </c>
      <c r="G42" s="67" t="str">
        <f>TEXT(DESPESAS[[#This Row],[Data]],"mmmm")</f>
        <v>novembro</v>
      </c>
      <c r="H42" s="24">
        <f>YEAR(DESPESAS[[#This Row],[Data]])</f>
        <v>2024</v>
      </c>
    </row>
    <row r="43" spans="1:8" x14ac:dyDescent="0.25">
      <c r="A43" s="22" t="s">
        <v>4</v>
      </c>
      <c r="B43" s="22" t="s">
        <v>5</v>
      </c>
      <c r="C43" s="22" t="s">
        <v>119</v>
      </c>
      <c r="D43" s="23">
        <v>970</v>
      </c>
      <c r="E43" s="65" t="s">
        <v>89</v>
      </c>
      <c r="F43" s="66">
        <v>45597</v>
      </c>
      <c r="G43" s="67" t="str">
        <f>TEXT(DESPESAS[[#This Row],[Data]],"mmmm")</f>
        <v>novembro</v>
      </c>
      <c r="H43" s="24">
        <f>YEAR(DESPESAS[[#This Row],[Data]])</f>
        <v>2024</v>
      </c>
    </row>
    <row r="44" spans="1:8" x14ac:dyDescent="0.25">
      <c r="A44" s="22" t="s">
        <v>13</v>
      </c>
      <c r="B44" s="22" t="s">
        <v>14</v>
      </c>
      <c r="C44" s="22" t="s">
        <v>120</v>
      </c>
      <c r="D44" s="23">
        <v>290</v>
      </c>
      <c r="E44" s="65" t="s">
        <v>90</v>
      </c>
      <c r="F44" s="66">
        <v>45972</v>
      </c>
      <c r="G44" s="67" t="str">
        <f>TEXT(DESPESAS[[#This Row],[Data]],"mmmm")</f>
        <v>novembro</v>
      </c>
      <c r="H44" s="24">
        <f>YEAR(DESPESAS[[#This Row],[Data]])</f>
        <v>2025</v>
      </c>
    </row>
    <row r="45" spans="1:8" x14ac:dyDescent="0.25">
      <c r="A45" s="22" t="s">
        <v>16</v>
      </c>
      <c r="B45" s="22" t="s">
        <v>59</v>
      </c>
      <c r="C45" s="22" t="s">
        <v>120</v>
      </c>
      <c r="D45" s="23">
        <v>465</v>
      </c>
      <c r="E45" s="65" t="s">
        <v>90</v>
      </c>
      <c r="F45" s="66">
        <v>45971</v>
      </c>
      <c r="G45" s="67" t="str">
        <f>TEXT(DESPESAS[[#This Row],[Data]],"mmmm")</f>
        <v>novembro</v>
      </c>
      <c r="H45" s="24">
        <f>YEAR(DESPESAS[[#This Row],[Data]])</f>
        <v>2025</v>
      </c>
    </row>
    <row r="46" spans="1:8" x14ac:dyDescent="0.25">
      <c r="A46" s="22" t="s">
        <v>16</v>
      </c>
      <c r="B46" s="22" t="s">
        <v>58</v>
      </c>
      <c r="C46" s="22" t="s">
        <v>119</v>
      </c>
      <c r="D46" s="23">
        <v>1000</v>
      </c>
      <c r="E46" s="65" t="s">
        <v>89</v>
      </c>
      <c r="F46" s="66">
        <v>45597</v>
      </c>
      <c r="G46" s="67" t="str">
        <f>TEXT(DESPESAS[[#This Row],[Data]],"mmmm")</f>
        <v>novembro</v>
      </c>
      <c r="H46" s="24">
        <f>YEAR(DESPESAS[[#This Row],[Data]])</f>
        <v>2024</v>
      </c>
    </row>
    <row r="47" spans="1:8" x14ac:dyDescent="0.25">
      <c r="A47" s="22" t="s">
        <v>13</v>
      </c>
      <c r="B47" s="22" t="s">
        <v>15</v>
      </c>
      <c r="C47" s="22" t="s">
        <v>120</v>
      </c>
      <c r="D47" s="23">
        <v>100</v>
      </c>
      <c r="E47" s="65" t="s">
        <v>90</v>
      </c>
      <c r="F47" s="66">
        <v>45598</v>
      </c>
      <c r="G47" s="67" t="str">
        <f>TEXT(DESPESAS[[#This Row],[Data]],"mmmm")</f>
        <v>novembro</v>
      </c>
      <c r="H47" s="24">
        <f>YEAR(DESPESAS[[#This Row],[Data]])</f>
        <v>2024</v>
      </c>
    </row>
    <row r="48" spans="1:8" x14ac:dyDescent="0.25">
      <c r="A48" s="22" t="s">
        <v>8</v>
      </c>
      <c r="B48" s="22" t="s">
        <v>49</v>
      </c>
      <c r="C48" s="22" t="s">
        <v>119</v>
      </c>
      <c r="D48" s="23">
        <v>2050</v>
      </c>
      <c r="E48" s="65" t="s">
        <v>89</v>
      </c>
      <c r="F48" s="66">
        <v>45627</v>
      </c>
      <c r="G48" s="67" t="str">
        <f>TEXT(DESPESAS[[#This Row],[Data]],"mmmm")</f>
        <v>dezembro</v>
      </c>
      <c r="H48" s="24">
        <f>YEAR(DESPESAS[[#This Row],[Data]])</f>
        <v>2024</v>
      </c>
    </row>
    <row r="49" spans="1:8" x14ac:dyDescent="0.25">
      <c r="A49" s="22" t="s">
        <v>4</v>
      </c>
      <c r="B49" s="22" t="s">
        <v>5</v>
      </c>
      <c r="C49" s="22" t="s">
        <v>119</v>
      </c>
      <c r="D49" s="23">
        <v>990</v>
      </c>
      <c r="E49" s="65" t="s">
        <v>89</v>
      </c>
      <c r="F49" s="66">
        <v>45627</v>
      </c>
      <c r="G49" s="67" t="str">
        <f>TEXT(DESPESAS[[#This Row],[Data]],"mmmm")</f>
        <v>dezembro</v>
      </c>
      <c r="H49" s="24">
        <f>YEAR(DESPESAS[[#This Row],[Data]])</f>
        <v>2024</v>
      </c>
    </row>
    <row r="50" spans="1:8" x14ac:dyDescent="0.25">
      <c r="A50" s="22" t="s">
        <v>16</v>
      </c>
      <c r="B50" s="22" t="s">
        <v>58</v>
      </c>
      <c r="C50" s="22" t="s">
        <v>119</v>
      </c>
      <c r="D50" s="23">
        <v>300</v>
      </c>
      <c r="E50" s="65" t="s">
        <v>89</v>
      </c>
      <c r="F50" s="66">
        <v>45627</v>
      </c>
      <c r="G50" s="67" t="str">
        <f>TEXT(DESPESAS[[#This Row],[Data]],"mmmm")</f>
        <v>dezembro</v>
      </c>
      <c r="H50" s="24">
        <f>YEAR(DESPESAS[[#This Row],[Data]])</f>
        <v>2024</v>
      </c>
    </row>
    <row r="51" spans="1:8" x14ac:dyDescent="0.25">
      <c r="A51" s="22" t="s">
        <v>13</v>
      </c>
      <c r="B51" s="22" t="s">
        <v>14</v>
      </c>
      <c r="C51" s="22" t="s">
        <v>120</v>
      </c>
      <c r="D51" s="23">
        <v>350</v>
      </c>
      <c r="E51" s="65" t="s">
        <v>90</v>
      </c>
      <c r="F51" s="66">
        <v>45628</v>
      </c>
      <c r="G51" s="67" t="str">
        <f>TEXT(DESPESAS[[#This Row],[Data]],"mmmm")</f>
        <v>dezembro</v>
      </c>
      <c r="H51" s="24">
        <f>YEAR(DESPESAS[[#This Row],[Data]])</f>
        <v>2024</v>
      </c>
    </row>
    <row r="52" spans="1:8" x14ac:dyDescent="0.25">
      <c r="A52" s="22" t="s">
        <v>8</v>
      </c>
      <c r="B52" s="22" t="s">
        <v>49</v>
      </c>
      <c r="C52" s="22" t="s">
        <v>119</v>
      </c>
      <c r="D52" s="23">
        <v>2050</v>
      </c>
      <c r="E52" s="65" t="s">
        <v>89</v>
      </c>
      <c r="F52" s="66">
        <v>45659</v>
      </c>
      <c r="G52" s="67" t="str">
        <f>TEXT(DESPESAS[[#This Row],[Data]],"mmmm")</f>
        <v>janeiro</v>
      </c>
      <c r="H52" s="24">
        <f>YEAR(DESPESAS[[#This Row],[Data]])</f>
        <v>2025</v>
      </c>
    </row>
    <row r="53" spans="1:8" x14ac:dyDescent="0.25">
      <c r="A53" s="22" t="s">
        <v>4</v>
      </c>
      <c r="B53" s="22" t="s">
        <v>5</v>
      </c>
      <c r="C53" s="22" t="s">
        <v>119</v>
      </c>
      <c r="D53" s="23">
        <v>1200</v>
      </c>
      <c r="E53" s="65" t="s">
        <v>89</v>
      </c>
      <c r="F53" s="66">
        <v>45659</v>
      </c>
      <c r="G53" s="67" t="str">
        <f>TEXT(DESPESAS[[#This Row],[Data]],"mmmm")</f>
        <v>janeiro</v>
      </c>
      <c r="H53" s="24">
        <f>YEAR(DESPESAS[[#This Row],[Data]])</f>
        <v>2025</v>
      </c>
    </row>
    <row r="54" spans="1:8" x14ac:dyDescent="0.25">
      <c r="A54" s="22" t="s">
        <v>13</v>
      </c>
      <c r="B54" s="22" t="s">
        <v>15</v>
      </c>
      <c r="C54" s="22" t="s">
        <v>120</v>
      </c>
      <c r="D54" s="23">
        <v>100</v>
      </c>
      <c r="E54" s="65" t="s">
        <v>90</v>
      </c>
      <c r="F54" s="66">
        <v>45659</v>
      </c>
      <c r="G54" s="67" t="str">
        <f>TEXT(DESPESAS[[#This Row],[Data]],"mmmm")</f>
        <v>janeiro</v>
      </c>
      <c r="H54" s="24">
        <f>YEAR(DESPESAS[[#This Row],[Data]])</f>
        <v>2025</v>
      </c>
    </row>
    <row r="55" spans="1:8" x14ac:dyDescent="0.25">
      <c r="A55" s="22" t="s">
        <v>16</v>
      </c>
      <c r="B55" s="22" t="s">
        <v>58</v>
      </c>
      <c r="C55" s="22" t="s">
        <v>119</v>
      </c>
      <c r="D55" s="23">
        <v>1000</v>
      </c>
      <c r="E55" s="65" t="s">
        <v>89</v>
      </c>
      <c r="F55" s="66">
        <v>45660</v>
      </c>
      <c r="G55" s="67" t="str">
        <f>TEXT(DESPESAS[[#This Row],[Data]],"mmmm")</f>
        <v>janeiro</v>
      </c>
      <c r="H55" s="24">
        <f>YEAR(DESPESAS[[#This Row],[Data]])</f>
        <v>2025</v>
      </c>
    </row>
    <row r="56" spans="1:8" x14ac:dyDescent="0.25">
      <c r="A56" s="22" t="s">
        <v>19</v>
      </c>
      <c r="B56" s="22" t="s">
        <v>62</v>
      </c>
      <c r="C56" s="22" t="s">
        <v>120</v>
      </c>
      <c r="D56" s="23">
        <v>800</v>
      </c>
      <c r="E56" s="65" t="s">
        <v>89</v>
      </c>
      <c r="F56" s="66">
        <v>45660</v>
      </c>
      <c r="G56" s="67" t="str">
        <f>TEXT(DESPESAS[[#This Row],[Data]],"mmmm")</f>
        <v>janeiro</v>
      </c>
      <c r="H56" s="24">
        <f>YEAR(DESPESAS[[#This Row],[Data]])</f>
        <v>2025</v>
      </c>
    </row>
    <row r="57" spans="1:8" x14ac:dyDescent="0.25">
      <c r="A57" s="22" t="s">
        <v>23</v>
      </c>
      <c r="B57" s="22" t="s">
        <v>68</v>
      </c>
      <c r="C57" s="22" t="s">
        <v>120</v>
      </c>
      <c r="D57" s="23">
        <v>1200</v>
      </c>
      <c r="E57" s="65" t="s">
        <v>90</v>
      </c>
      <c r="F57" s="66">
        <v>45667</v>
      </c>
      <c r="G57" s="67" t="str">
        <f>TEXT(DESPESAS[[#This Row],[Data]],"mmmm")</f>
        <v>janeiro</v>
      </c>
      <c r="H57" s="24">
        <f>YEAR(DESPESAS[[#This Row],[Data]])</f>
        <v>2025</v>
      </c>
    </row>
    <row r="58" spans="1:8" x14ac:dyDescent="0.25">
      <c r="A58" s="22" t="s">
        <v>16</v>
      </c>
      <c r="B58" s="22" t="s">
        <v>58</v>
      </c>
      <c r="C58" s="22" t="s">
        <v>119</v>
      </c>
      <c r="D58" s="23">
        <v>1000</v>
      </c>
      <c r="E58" s="65" t="s">
        <v>89</v>
      </c>
      <c r="F58" s="66">
        <v>45689</v>
      </c>
      <c r="G58" s="67" t="str">
        <f>TEXT(DESPESAS[[#This Row],[Data]],"mmmm")</f>
        <v>fevereiro</v>
      </c>
      <c r="H58" s="24">
        <f>YEAR(DESPESAS[[#This Row],[Data]])</f>
        <v>2025</v>
      </c>
    </row>
    <row r="59" spans="1:8" x14ac:dyDescent="0.25">
      <c r="A59" s="22" t="s">
        <v>19</v>
      </c>
      <c r="B59" s="22" t="s">
        <v>62</v>
      </c>
      <c r="C59" s="22" t="s">
        <v>120</v>
      </c>
      <c r="D59" s="23">
        <v>1100</v>
      </c>
      <c r="E59" s="65" t="s">
        <v>89</v>
      </c>
      <c r="F59" s="66">
        <v>45689</v>
      </c>
      <c r="G59" s="67" t="str">
        <f>TEXT(DESPESAS[[#This Row],[Data]],"mmmm")</f>
        <v>fevereiro</v>
      </c>
      <c r="H59" s="24">
        <f>YEAR(DESPESAS[[#This Row],[Data]])</f>
        <v>2025</v>
      </c>
    </row>
    <row r="60" spans="1:8" x14ac:dyDescent="0.25">
      <c r="A60" s="22" t="s">
        <v>8</v>
      </c>
      <c r="B60" s="22" t="s">
        <v>49</v>
      </c>
      <c r="C60" s="22" t="s">
        <v>119</v>
      </c>
      <c r="D60" s="23">
        <v>2050</v>
      </c>
      <c r="E60" s="65" t="s">
        <v>89</v>
      </c>
      <c r="F60" s="66">
        <v>45690</v>
      </c>
      <c r="G60" s="67" t="str">
        <f>TEXT(DESPESAS[[#This Row],[Data]],"mmmm")</f>
        <v>fevereiro</v>
      </c>
      <c r="H60" s="24">
        <f>YEAR(DESPESAS[[#This Row],[Data]])</f>
        <v>2025</v>
      </c>
    </row>
    <row r="61" spans="1:8" x14ac:dyDescent="0.25">
      <c r="A61" s="22" t="s">
        <v>13</v>
      </c>
      <c r="B61" s="22" t="s">
        <v>15</v>
      </c>
      <c r="C61" s="22" t="s">
        <v>120</v>
      </c>
      <c r="D61" s="23">
        <v>100</v>
      </c>
      <c r="E61" s="65" t="s">
        <v>90</v>
      </c>
      <c r="F61" s="66">
        <v>45690</v>
      </c>
      <c r="G61" s="67" t="str">
        <f>TEXT(DESPESAS[[#This Row],[Data]],"mmmm")</f>
        <v>fevereiro</v>
      </c>
      <c r="H61" s="24">
        <f>YEAR(DESPESAS[[#This Row],[Data]])</f>
        <v>2025</v>
      </c>
    </row>
    <row r="62" spans="1:8" x14ac:dyDescent="0.25">
      <c r="A62" s="22" t="s">
        <v>4</v>
      </c>
      <c r="B62" s="22" t="s">
        <v>5</v>
      </c>
      <c r="C62" s="22" t="s">
        <v>120</v>
      </c>
      <c r="D62" s="23">
        <v>1200</v>
      </c>
      <c r="E62" s="65" t="s">
        <v>89</v>
      </c>
      <c r="F62" s="66">
        <v>45690</v>
      </c>
      <c r="G62" s="67" t="str">
        <f>TEXT(DESPESAS[[#This Row],[Data]],"mmmm")</f>
        <v>fevereiro</v>
      </c>
      <c r="H62" s="24">
        <f>YEAR(DESPESAS[[#This Row],[Data]])</f>
        <v>2025</v>
      </c>
    </row>
    <row r="63" spans="1:8" x14ac:dyDescent="0.25">
      <c r="A63" s="22" t="s">
        <v>8</v>
      </c>
      <c r="B63" s="22" t="s">
        <v>11</v>
      </c>
      <c r="C63" s="22" t="s">
        <v>120</v>
      </c>
      <c r="D63" s="23">
        <v>1300</v>
      </c>
      <c r="E63" s="65" t="s">
        <v>90</v>
      </c>
      <c r="F63" s="66">
        <v>45694</v>
      </c>
      <c r="G63" s="67" t="str">
        <f>TEXT(DESPESAS[[#This Row],[Data]],"mmmm")</f>
        <v>fevereiro</v>
      </c>
      <c r="H63" s="24">
        <f>YEAR(DESPESAS[[#This Row],[Data]])</f>
        <v>2025</v>
      </c>
    </row>
    <row r="64" spans="1:8" x14ac:dyDescent="0.25">
      <c r="A64" s="22" t="s">
        <v>8</v>
      </c>
      <c r="B64" s="22" t="s">
        <v>49</v>
      </c>
      <c r="C64" s="22" t="s">
        <v>119</v>
      </c>
      <c r="D64" s="23">
        <v>2050</v>
      </c>
      <c r="E64" s="65" t="s">
        <v>89</v>
      </c>
      <c r="F64" s="66">
        <v>45717</v>
      </c>
      <c r="G64" s="67" t="str">
        <f>TEXT(DESPESAS[[#This Row],[Data]],"mmmm")</f>
        <v>março</v>
      </c>
      <c r="H64" s="24">
        <f>YEAR(DESPESAS[[#This Row],[Data]])</f>
        <v>2025</v>
      </c>
    </row>
    <row r="65" spans="1:8" x14ac:dyDescent="0.25">
      <c r="A65" s="22" t="s">
        <v>4</v>
      </c>
      <c r="B65" s="22" t="s">
        <v>5</v>
      </c>
      <c r="C65" s="22" t="s">
        <v>120</v>
      </c>
      <c r="D65" s="23">
        <v>1200</v>
      </c>
      <c r="E65" s="65" t="s">
        <v>89</v>
      </c>
      <c r="F65" s="66">
        <v>45717</v>
      </c>
      <c r="G65" s="67" t="str">
        <f>TEXT(DESPESAS[[#This Row],[Data]],"mmmm")</f>
        <v>março</v>
      </c>
      <c r="H65" s="24">
        <f>YEAR(DESPESAS[[#This Row],[Data]])</f>
        <v>2025</v>
      </c>
    </row>
    <row r="66" spans="1:8" x14ac:dyDescent="0.25">
      <c r="A66" s="22" t="s">
        <v>16</v>
      </c>
      <c r="B66" s="22" t="s">
        <v>58</v>
      </c>
      <c r="C66" s="22" t="s">
        <v>119</v>
      </c>
      <c r="D66" s="23">
        <v>1000</v>
      </c>
      <c r="E66" s="65" t="s">
        <v>89</v>
      </c>
      <c r="F66" s="66">
        <v>45717</v>
      </c>
      <c r="G66" s="67" t="str">
        <f>TEXT(DESPESAS[[#This Row],[Data]],"mmmm")</f>
        <v>março</v>
      </c>
      <c r="H66" s="24">
        <f>YEAR(DESPESAS[[#This Row],[Data]])</f>
        <v>2025</v>
      </c>
    </row>
    <row r="67" spans="1:8" x14ac:dyDescent="0.25">
      <c r="A67" s="22" t="s">
        <v>4</v>
      </c>
      <c r="B67" s="22" t="s">
        <v>7</v>
      </c>
      <c r="C67" s="22" t="s">
        <v>120</v>
      </c>
      <c r="D67" s="23">
        <v>460</v>
      </c>
      <c r="E67" s="65" t="s">
        <v>89</v>
      </c>
      <c r="F67" s="66">
        <v>45717</v>
      </c>
      <c r="G67" s="67" t="str">
        <f>TEXT(DESPESAS[[#This Row],[Data]],"mmmm")</f>
        <v>março</v>
      </c>
      <c r="H67" s="24">
        <f>YEAR(DESPESAS[[#This Row],[Data]])</f>
        <v>2025</v>
      </c>
    </row>
    <row r="68" spans="1:8" x14ac:dyDescent="0.25">
      <c r="A68" s="22" t="s">
        <v>13</v>
      </c>
      <c r="B68" s="22" t="s">
        <v>15</v>
      </c>
      <c r="C68" s="22" t="s">
        <v>120</v>
      </c>
      <c r="D68" s="23">
        <v>100</v>
      </c>
      <c r="E68" s="65" t="s">
        <v>89</v>
      </c>
      <c r="F68" s="66">
        <v>45718</v>
      </c>
      <c r="G68" s="67" t="str">
        <f>TEXT(DESPESAS[[#This Row],[Data]],"mmmm")</f>
        <v>março</v>
      </c>
      <c r="H68" s="24">
        <f>YEAR(DESPESAS[[#This Row],[Data]])</f>
        <v>2025</v>
      </c>
    </row>
    <row r="69" spans="1:8" x14ac:dyDescent="0.25">
      <c r="A69" s="22" t="s">
        <v>13</v>
      </c>
      <c r="B69" s="22" t="s">
        <v>15</v>
      </c>
      <c r="C69" s="22" t="s">
        <v>120</v>
      </c>
      <c r="D69" s="23">
        <v>100</v>
      </c>
      <c r="E69" s="65" t="s">
        <v>90</v>
      </c>
      <c r="F69" s="66">
        <v>45718</v>
      </c>
      <c r="G69" s="67" t="str">
        <f>TEXT(DESPESAS[[#This Row],[Data]],"mmmm")</f>
        <v>março</v>
      </c>
      <c r="H69" s="24">
        <f>YEAR(DESPESAS[[#This Row],[Data]])</f>
        <v>2025</v>
      </c>
    </row>
    <row r="70" spans="1:8" x14ac:dyDescent="0.25">
      <c r="A70" s="22" t="s">
        <v>8</v>
      </c>
      <c r="B70" s="22" t="s">
        <v>49</v>
      </c>
      <c r="C70" s="22" t="s">
        <v>119</v>
      </c>
      <c r="D70" s="23">
        <v>2050</v>
      </c>
      <c r="E70" s="65" t="s">
        <v>89</v>
      </c>
      <c r="F70" s="66">
        <v>45748</v>
      </c>
      <c r="G70" s="67" t="str">
        <f>TEXT(DESPESAS[[#This Row],[Data]],"mmmm")</f>
        <v>abril</v>
      </c>
      <c r="H70" s="24">
        <f>YEAR(DESPESAS[[#This Row],[Data]])</f>
        <v>2025</v>
      </c>
    </row>
    <row r="71" spans="1:8" x14ac:dyDescent="0.25">
      <c r="A71" s="22" t="s">
        <v>4</v>
      </c>
      <c r="B71" s="22" t="s">
        <v>5</v>
      </c>
      <c r="C71" s="22" t="s">
        <v>120</v>
      </c>
      <c r="D71" s="23">
        <v>1200</v>
      </c>
      <c r="E71" s="65" t="s">
        <v>89</v>
      </c>
      <c r="F71" s="66">
        <v>45748</v>
      </c>
      <c r="G71" s="67" t="str">
        <f>TEXT(DESPESAS[[#This Row],[Data]],"mmmm")</f>
        <v>abril</v>
      </c>
      <c r="H71" s="24">
        <f>YEAR(DESPESAS[[#This Row],[Data]])</f>
        <v>2025</v>
      </c>
    </row>
    <row r="72" spans="1:8" x14ac:dyDescent="0.25">
      <c r="A72" s="22" t="s">
        <v>16</v>
      </c>
      <c r="B72" s="22" t="s">
        <v>58</v>
      </c>
      <c r="C72" s="22" t="s">
        <v>119</v>
      </c>
      <c r="D72" s="23">
        <v>1000</v>
      </c>
      <c r="E72" s="65" t="s">
        <v>89</v>
      </c>
      <c r="F72" s="66">
        <v>45748</v>
      </c>
      <c r="G72" s="67" t="str">
        <f>TEXT(DESPESAS[[#This Row],[Data]],"mmmm")</f>
        <v>abril</v>
      </c>
      <c r="H72" s="24">
        <f>YEAR(DESPESAS[[#This Row],[Data]])</f>
        <v>2025</v>
      </c>
    </row>
    <row r="73" spans="1:8" x14ac:dyDescent="0.25">
      <c r="A73" s="22" t="s">
        <v>84</v>
      </c>
      <c r="B73" s="22" t="s">
        <v>54</v>
      </c>
      <c r="C73" s="22" t="s">
        <v>119</v>
      </c>
      <c r="D73" s="23">
        <v>100</v>
      </c>
      <c r="E73" s="65" t="s">
        <v>89</v>
      </c>
      <c r="F73" s="66">
        <v>45748</v>
      </c>
      <c r="G73" s="67" t="str">
        <f>TEXT(DESPESAS[[#This Row],[Data]],"mmmm")</f>
        <v>abril</v>
      </c>
      <c r="H73" s="24">
        <f>YEAR(DESPESAS[[#This Row],[Data]])</f>
        <v>2025</v>
      </c>
    </row>
    <row r="74" spans="1:8" x14ac:dyDescent="0.25">
      <c r="A74" s="22" t="s">
        <v>13</v>
      </c>
      <c r="B74" s="22" t="s">
        <v>15</v>
      </c>
      <c r="C74" s="22" t="s">
        <v>120</v>
      </c>
      <c r="D74" s="23">
        <v>100</v>
      </c>
      <c r="E74" s="65" t="s">
        <v>90</v>
      </c>
      <c r="F74" s="66">
        <v>45749</v>
      </c>
      <c r="G74" s="67" t="str">
        <f>TEXT(DESPESAS[[#This Row],[Data]],"mmmm")</f>
        <v>abril</v>
      </c>
      <c r="H74" s="24">
        <f>YEAR(DESPESAS[[#This Row],[Data]])</f>
        <v>2025</v>
      </c>
    </row>
    <row r="75" spans="1:8" x14ac:dyDescent="0.25">
      <c r="A75" s="22" t="s">
        <v>84</v>
      </c>
      <c r="B75" s="22" t="s">
        <v>56</v>
      </c>
      <c r="C75" s="22" t="s">
        <v>120</v>
      </c>
      <c r="D75" s="23">
        <v>255</v>
      </c>
      <c r="E75" s="65" t="s">
        <v>111</v>
      </c>
      <c r="F75" s="66">
        <v>45758</v>
      </c>
      <c r="G75" s="67" t="str">
        <f>TEXT(DESPESAS[[#This Row],[Data]],"mmmm")</f>
        <v>abril</v>
      </c>
      <c r="H75" s="24">
        <f>YEAR(DESPESAS[[#This Row],[Data]])</f>
        <v>2025</v>
      </c>
    </row>
    <row r="76" spans="1:8" x14ac:dyDescent="0.25">
      <c r="A76" s="22" t="s">
        <v>8</v>
      </c>
      <c r="B76" s="22" t="s">
        <v>49</v>
      </c>
      <c r="C76" s="22" t="s">
        <v>119</v>
      </c>
      <c r="D76" s="23">
        <v>2050</v>
      </c>
      <c r="E76" s="65" t="s">
        <v>89</v>
      </c>
      <c r="F76" s="66">
        <v>45778</v>
      </c>
      <c r="G76" s="67" t="str">
        <f>TEXT(DESPESAS[[#This Row],[Data]],"mmmm")</f>
        <v>maio</v>
      </c>
      <c r="H76" s="24">
        <f>YEAR(DESPESAS[[#This Row],[Data]])</f>
        <v>2025</v>
      </c>
    </row>
    <row r="77" spans="1:8" x14ac:dyDescent="0.25">
      <c r="A77" s="22" t="s">
        <v>4</v>
      </c>
      <c r="B77" s="22" t="s">
        <v>5</v>
      </c>
      <c r="C77" s="22" t="s">
        <v>120</v>
      </c>
      <c r="D77" s="23">
        <v>1200</v>
      </c>
      <c r="E77" s="65" t="s">
        <v>89</v>
      </c>
      <c r="F77" s="66">
        <v>45778</v>
      </c>
      <c r="G77" s="67" t="str">
        <f>TEXT(DESPESAS[[#This Row],[Data]],"mmmm")</f>
        <v>maio</v>
      </c>
      <c r="H77" s="24">
        <f>YEAR(DESPESAS[[#This Row],[Data]])</f>
        <v>2025</v>
      </c>
    </row>
    <row r="78" spans="1:8" x14ac:dyDescent="0.25">
      <c r="A78" s="22" t="s">
        <v>16</v>
      </c>
      <c r="B78" s="22" t="s">
        <v>58</v>
      </c>
      <c r="C78" s="22" t="s">
        <v>119</v>
      </c>
      <c r="D78" s="23">
        <v>1000</v>
      </c>
      <c r="E78" s="65" t="s">
        <v>89</v>
      </c>
      <c r="F78" s="66">
        <v>45778</v>
      </c>
      <c r="G78" s="67" t="str">
        <f>TEXT(DESPESAS[[#This Row],[Data]],"mmmm")</f>
        <v>maio</v>
      </c>
      <c r="H78" s="24">
        <f>YEAR(DESPESAS[[#This Row],[Data]])</f>
        <v>2025</v>
      </c>
    </row>
    <row r="79" spans="1:8" x14ac:dyDescent="0.25">
      <c r="A79" s="22" t="s">
        <v>16</v>
      </c>
      <c r="B79" s="22" t="s">
        <v>18</v>
      </c>
      <c r="C79" s="22" t="s">
        <v>119</v>
      </c>
      <c r="D79" s="23">
        <v>120</v>
      </c>
      <c r="E79" s="65" t="s">
        <v>89</v>
      </c>
      <c r="F79" s="66">
        <v>45778</v>
      </c>
      <c r="G79" s="67" t="str">
        <f>TEXT(DESPESAS[[#This Row],[Data]],"mmmm")</f>
        <v>maio</v>
      </c>
      <c r="H79" s="24">
        <f>YEAR(DESPESAS[[#This Row],[Data]])</f>
        <v>2025</v>
      </c>
    </row>
    <row r="80" spans="1:8" x14ac:dyDescent="0.25">
      <c r="A80" s="22" t="s">
        <v>13</v>
      </c>
      <c r="B80" s="22" t="s">
        <v>15</v>
      </c>
      <c r="C80" s="22" t="s">
        <v>120</v>
      </c>
      <c r="D80" s="23">
        <v>100</v>
      </c>
      <c r="E80" s="65" t="s">
        <v>90</v>
      </c>
      <c r="F80" s="66">
        <v>45779</v>
      </c>
      <c r="G80" s="67" t="str">
        <f>TEXT(DESPESAS[[#This Row],[Data]],"mmmm")</f>
        <v>maio</v>
      </c>
      <c r="H80" s="24">
        <f>YEAR(DESPESAS[[#This Row],[Data]])</f>
        <v>2025</v>
      </c>
    </row>
    <row r="81" spans="1:8" x14ac:dyDescent="0.25">
      <c r="A81" s="22" t="s">
        <v>13</v>
      </c>
      <c r="B81" s="22" t="s">
        <v>53</v>
      </c>
      <c r="C81" s="22" t="s">
        <v>119</v>
      </c>
      <c r="D81" s="23">
        <v>1500</v>
      </c>
      <c r="E81" s="65" t="s">
        <v>90</v>
      </c>
      <c r="F81" s="66">
        <v>45807</v>
      </c>
      <c r="G81" s="67" t="str">
        <f>TEXT(DESPESAS[[#This Row],[Data]],"mmmm")</f>
        <v>maio</v>
      </c>
      <c r="H81" s="24">
        <f>YEAR(DESPESAS[[#This Row],[Data]])</f>
        <v>2025</v>
      </c>
    </row>
    <row r="82" spans="1:8" x14ac:dyDescent="0.25">
      <c r="A82" s="22" t="s">
        <v>24</v>
      </c>
      <c r="B82" s="22" t="s">
        <v>70</v>
      </c>
      <c r="C82" s="22" t="s">
        <v>120</v>
      </c>
      <c r="D82" s="23">
        <v>450</v>
      </c>
      <c r="E82" s="65" t="s">
        <v>90</v>
      </c>
      <c r="F82" s="66">
        <v>45807</v>
      </c>
      <c r="G82" s="67" t="str">
        <f>TEXT(DESPESAS[[#This Row],[Data]],"mmmm")</f>
        <v>maio</v>
      </c>
      <c r="H82" s="24">
        <f>YEAR(DESPESAS[[#This Row],[Data]])</f>
        <v>2025</v>
      </c>
    </row>
    <row r="83" spans="1:8" x14ac:dyDescent="0.25">
      <c r="A83" s="22" t="s">
        <v>8</v>
      </c>
      <c r="B83" s="22" t="s">
        <v>49</v>
      </c>
      <c r="C83" s="22" t="s">
        <v>119</v>
      </c>
      <c r="D83" s="23">
        <v>2050</v>
      </c>
      <c r="E83" s="65" t="s">
        <v>89</v>
      </c>
      <c r="F83" s="66">
        <v>45809</v>
      </c>
      <c r="G83" s="67" t="str">
        <f>TEXT(DESPESAS[[#This Row],[Data]],"mmmm")</f>
        <v>junho</v>
      </c>
      <c r="H83" s="24">
        <f>YEAR(DESPESAS[[#This Row],[Data]])</f>
        <v>2025</v>
      </c>
    </row>
    <row r="84" spans="1:8" x14ac:dyDescent="0.25">
      <c r="A84" s="22" t="s">
        <v>4</v>
      </c>
      <c r="B84" s="22" t="s">
        <v>5</v>
      </c>
      <c r="C84" s="22" t="s">
        <v>119</v>
      </c>
      <c r="D84" s="23">
        <v>400</v>
      </c>
      <c r="E84" s="65" t="s">
        <v>89</v>
      </c>
      <c r="F84" s="66">
        <v>45809</v>
      </c>
      <c r="G84" s="67" t="str">
        <f>TEXT(DESPESAS[[#This Row],[Data]],"mmmm")</f>
        <v>junho</v>
      </c>
      <c r="H84" s="24">
        <f>YEAR(DESPESAS[[#This Row],[Data]])</f>
        <v>2025</v>
      </c>
    </row>
    <row r="85" spans="1:8" x14ac:dyDescent="0.25">
      <c r="A85" s="22" t="s">
        <v>16</v>
      </c>
      <c r="B85" s="22" t="s">
        <v>58</v>
      </c>
      <c r="C85" s="22" t="s">
        <v>119</v>
      </c>
      <c r="D85" s="23">
        <v>200</v>
      </c>
      <c r="E85" s="65" t="s">
        <v>89</v>
      </c>
      <c r="F85" s="66">
        <v>45809</v>
      </c>
      <c r="G85" s="67" t="str">
        <f>TEXT(DESPESAS[[#This Row],[Data]],"mmmm")</f>
        <v>junho</v>
      </c>
      <c r="H85" s="24">
        <f>YEAR(DESPESAS[[#This Row],[Data]])</f>
        <v>2025</v>
      </c>
    </row>
    <row r="86" spans="1:8" x14ac:dyDescent="0.25">
      <c r="A86" s="22" t="s">
        <v>23</v>
      </c>
      <c r="B86" s="22" t="s">
        <v>66</v>
      </c>
      <c r="C86" s="22" t="s">
        <v>120</v>
      </c>
      <c r="D86" s="23">
        <v>140</v>
      </c>
      <c r="E86" s="65" t="s">
        <v>89</v>
      </c>
      <c r="F86" s="66">
        <v>45809</v>
      </c>
      <c r="G86" s="67" t="str">
        <f>TEXT(DESPESAS[[#This Row],[Data]],"mmmm")</f>
        <v>junho</v>
      </c>
      <c r="H86" s="24">
        <f>YEAR(DESPESAS[[#This Row],[Data]])</f>
        <v>2025</v>
      </c>
    </row>
    <row r="87" spans="1:8" x14ac:dyDescent="0.25">
      <c r="A87" s="22" t="s">
        <v>13</v>
      </c>
      <c r="B87" s="22" t="s">
        <v>15</v>
      </c>
      <c r="C87" s="22" t="s">
        <v>120</v>
      </c>
      <c r="D87" s="23">
        <v>100</v>
      </c>
      <c r="E87" s="65" t="s">
        <v>90</v>
      </c>
      <c r="F87" s="66">
        <v>45810</v>
      </c>
      <c r="G87" s="67" t="str">
        <f>TEXT(DESPESAS[[#This Row],[Data]],"mmmm")</f>
        <v>junho</v>
      </c>
      <c r="H87" s="24">
        <f>YEAR(DESPESAS[[#This Row],[Data]])</f>
        <v>2025</v>
      </c>
    </row>
    <row r="88" spans="1:8" x14ac:dyDescent="0.25">
      <c r="A88" s="22" t="s">
        <v>24</v>
      </c>
      <c r="B88" s="22" t="s">
        <v>72</v>
      </c>
      <c r="C88" s="22" t="s">
        <v>120</v>
      </c>
      <c r="D88" s="23">
        <v>300</v>
      </c>
      <c r="E88" s="65" t="s">
        <v>91</v>
      </c>
      <c r="F88" s="66">
        <v>45835</v>
      </c>
      <c r="G88" s="67" t="str">
        <f>TEXT(DESPESAS[[#This Row],[Data]],"mmmm")</f>
        <v>junho</v>
      </c>
      <c r="H88" s="24">
        <f>YEAR(DESPESAS[[#This Row],[Data]])</f>
        <v>2025</v>
      </c>
    </row>
    <row r="89" spans="1:8" x14ac:dyDescent="0.25">
      <c r="A89" s="22" t="s">
        <v>24</v>
      </c>
      <c r="B89" s="22" t="s">
        <v>118</v>
      </c>
      <c r="C89" s="22" t="s">
        <v>120</v>
      </c>
      <c r="D89" s="23">
        <v>20</v>
      </c>
      <c r="E89" s="65" t="s">
        <v>90</v>
      </c>
      <c r="F89" s="66">
        <v>45838</v>
      </c>
      <c r="G89" s="67" t="str">
        <f>TEXT(DESPESAS[[#This Row],[Data]],"mmmm")</f>
        <v>junho</v>
      </c>
      <c r="H89" s="24">
        <f>YEAR(DESPESAS[[#This Row],[Data]])</f>
        <v>2025</v>
      </c>
    </row>
    <row r="90" spans="1:8" x14ac:dyDescent="0.25">
      <c r="A90" s="22" t="s">
        <v>8</v>
      </c>
      <c r="B90" s="22" t="s">
        <v>49</v>
      </c>
      <c r="C90" s="22" t="s">
        <v>119</v>
      </c>
      <c r="D90" s="23">
        <v>2050</v>
      </c>
      <c r="E90" s="65" t="s">
        <v>89</v>
      </c>
      <c r="F90" s="66">
        <v>45839</v>
      </c>
      <c r="G90" s="67" t="str">
        <f>TEXT(DESPESAS[[#This Row],[Data]],"mmmm")</f>
        <v>julho</v>
      </c>
      <c r="H90" s="24">
        <f>YEAR(DESPESAS[[#This Row],[Data]])</f>
        <v>2025</v>
      </c>
    </row>
    <row r="91" spans="1:8" x14ac:dyDescent="0.25">
      <c r="A91" s="22" t="s">
        <v>4</v>
      </c>
      <c r="B91" s="22" t="s">
        <v>5</v>
      </c>
      <c r="C91" s="22" t="s">
        <v>120</v>
      </c>
      <c r="D91" s="23">
        <v>1490</v>
      </c>
      <c r="E91" s="65" t="s">
        <v>89</v>
      </c>
      <c r="F91" s="66">
        <v>45839</v>
      </c>
      <c r="G91" s="67" t="str">
        <f>TEXT(DESPESAS[[#This Row],[Data]],"mmmm")</f>
        <v>julho</v>
      </c>
      <c r="H91" s="24">
        <f>YEAR(DESPESAS[[#This Row],[Data]])</f>
        <v>2025</v>
      </c>
    </row>
    <row r="92" spans="1:8" x14ac:dyDescent="0.25">
      <c r="A92" s="22" t="s">
        <v>16</v>
      </c>
      <c r="B92" s="22" t="s">
        <v>58</v>
      </c>
      <c r="C92" s="22" t="s">
        <v>119</v>
      </c>
      <c r="D92" s="23">
        <v>1000</v>
      </c>
      <c r="E92" s="65" t="s">
        <v>89</v>
      </c>
      <c r="F92" s="66">
        <v>45839</v>
      </c>
      <c r="G92" s="67" t="str">
        <f>TEXT(DESPESAS[[#This Row],[Data]],"mmmm")</f>
        <v>julho</v>
      </c>
      <c r="H92" s="24">
        <f>YEAR(DESPESAS[[#This Row],[Data]])</f>
        <v>2025</v>
      </c>
    </row>
    <row r="93" spans="1:8" x14ac:dyDescent="0.25">
      <c r="A93" s="22" t="s">
        <v>8</v>
      </c>
      <c r="B93" s="22" t="s">
        <v>11</v>
      </c>
      <c r="C93" s="22" t="s">
        <v>120</v>
      </c>
      <c r="D93" s="23">
        <v>3000</v>
      </c>
      <c r="E93" s="65" t="s">
        <v>89</v>
      </c>
      <c r="F93" s="66">
        <v>45839</v>
      </c>
      <c r="G93" s="67" t="str">
        <f>TEXT(DESPESAS[[#This Row],[Data]],"mmmm")</f>
        <v>julho</v>
      </c>
      <c r="H93" s="24">
        <f>YEAR(DESPESAS[[#This Row],[Data]])</f>
        <v>2025</v>
      </c>
    </row>
    <row r="94" spans="1:8" x14ac:dyDescent="0.25">
      <c r="A94" s="22" t="s">
        <v>8</v>
      </c>
      <c r="B94" s="22" t="s">
        <v>49</v>
      </c>
      <c r="C94" s="22" t="s">
        <v>119</v>
      </c>
      <c r="D94" s="23">
        <v>2050</v>
      </c>
      <c r="E94" s="65" t="s">
        <v>89</v>
      </c>
      <c r="F94" s="66">
        <v>45870</v>
      </c>
      <c r="G94" s="67" t="str">
        <f>TEXT(DESPESAS[[#This Row],[Data]],"mmmm")</f>
        <v>agosto</v>
      </c>
      <c r="H94" s="24">
        <f>YEAR(DESPESAS[[#This Row],[Data]])</f>
        <v>2025</v>
      </c>
    </row>
    <row r="95" spans="1:8" x14ac:dyDescent="0.25">
      <c r="A95" s="22" t="s">
        <v>13</v>
      </c>
      <c r="B95" s="22" t="s">
        <v>15</v>
      </c>
      <c r="C95" s="22" t="s">
        <v>120</v>
      </c>
      <c r="D95" s="23">
        <v>3780</v>
      </c>
      <c r="E95" s="65" t="s">
        <v>111</v>
      </c>
      <c r="F95" s="66">
        <v>45910</v>
      </c>
      <c r="G95" s="67" t="str">
        <f>TEXT(DESPESAS[[#This Row],[Data]],"mmmm")</f>
        <v>setembro</v>
      </c>
      <c r="H95" s="24">
        <f>YEAR(DESPESAS[[#This Row],[Data]])</f>
        <v>2025</v>
      </c>
    </row>
    <row r="96" spans="1:8" x14ac:dyDescent="0.25">
      <c r="A96" s="22" t="s">
        <v>8</v>
      </c>
      <c r="B96" s="22" t="s">
        <v>49</v>
      </c>
      <c r="C96" s="22" t="s">
        <v>119</v>
      </c>
      <c r="D96" s="23">
        <v>2050</v>
      </c>
      <c r="E96" s="65" t="s">
        <v>89</v>
      </c>
      <c r="F96" s="66">
        <v>45901</v>
      </c>
      <c r="G96" s="67" t="str">
        <f>TEXT(DESPESAS[[#This Row],[Data]],"mmmm")</f>
        <v>setembro</v>
      </c>
      <c r="H96" s="24">
        <f>YEAR(DESPESAS[[#This Row],[Data]])</f>
        <v>2025</v>
      </c>
    </row>
    <row r="97" spans="1:8" x14ac:dyDescent="0.25">
      <c r="A97" s="22" t="s">
        <v>8</v>
      </c>
      <c r="B97" s="22" t="s">
        <v>49</v>
      </c>
      <c r="C97" s="22" t="s">
        <v>119</v>
      </c>
      <c r="D97" s="23">
        <v>2050</v>
      </c>
      <c r="E97" s="65" t="s">
        <v>89</v>
      </c>
      <c r="F97" s="66">
        <v>45931</v>
      </c>
      <c r="G97" s="67" t="str">
        <f>TEXT(DESPESAS[[#This Row],[Data]],"mmmm")</f>
        <v>outubro</v>
      </c>
      <c r="H97" s="24">
        <f>YEAR(DESPESAS[[#This Row],[Data]])</f>
        <v>2025</v>
      </c>
    </row>
    <row r="98" spans="1:8" x14ac:dyDescent="0.25">
      <c r="A98" s="22" t="s">
        <v>8</v>
      </c>
      <c r="B98" s="22" t="s">
        <v>49</v>
      </c>
      <c r="C98" s="22" t="s">
        <v>119</v>
      </c>
      <c r="D98" s="23">
        <v>2050</v>
      </c>
      <c r="E98" s="65" t="s">
        <v>89</v>
      </c>
      <c r="F98" s="66">
        <v>45962</v>
      </c>
      <c r="G98" s="67" t="str">
        <f>TEXT(DESPESAS[[#This Row],[Data]],"mmmm")</f>
        <v>novembro</v>
      </c>
      <c r="H98" s="24">
        <f>YEAR(DESPESAS[[#This Row],[Data]])</f>
        <v>2025</v>
      </c>
    </row>
    <row r="99" spans="1:8" x14ac:dyDescent="0.25">
      <c r="A99" s="22" t="s">
        <v>8</v>
      </c>
      <c r="B99" s="22" t="s">
        <v>49</v>
      </c>
      <c r="C99" s="22" t="s">
        <v>119</v>
      </c>
      <c r="D99" s="23">
        <v>2050</v>
      </c>
      <c r="E99" s="65" t="s">
        <v>89</v>
      </c>
      <c r="F99" s="66">
        <v>45992</v>
      </c>
      <c r="G99" s="67" t="str">
        <f>TEXT(DESPESAS[[#This Row],[Data]],"mmmm")</f>
        <v>dezembro</v>
      </c>
      <c r="H99" s="24">
        <f>YEAR(DESPESAS[[#This Row],[Data]])</f>
        <v>2025</v>
      </c>
    </row>
  </sheetData>
  <dataValidations count="3">
    <dataValidation type="list" allowBlank="1" showInputMessage="1" showErrorMessage="1" sqref="E6:E99" xr:uid="{3819FA36-2A08-4DB5-BE6C-59D19D95DE7A}">
      <formula1>INDIRECT("FONTE_DESTINO[Fonte/Destino]")</formula1>
    </dataValidation>
    <dataValidation type="list" allowBlank="1" showInputMessage="1" showErrorMessage="1" sqref="C6:C99" xr:uid="{441783C1-109B-43D5-95D2-3F172E985BAE}">
      <formula1>"Despesa Fixa,Despesa Variável"</formula1>
    </dataValidation>
    <dataValidation type="list" allowBlank="1" showInputMessage="1" showErrorMessage="1" sqref="B6:B99" xr:uid="{B7111147-B9F6-47AD-A699-3B43A4F9F185}">
      <formula1>INDIRECT($A6 &amp; "[" &amp; $A6 &amp; "]")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EA1DB8-80F1-48B9-B2C1-C8A62662D675}">
          <x14:formula1>
            <xm:f>Cadastros!$P$1:$X$1</xm:f>
          </x14:formula1>
          <xm:sqref>A6:A99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C223D-4543-4529-BAED-C00668986F3D}">
  <sheetPr codeName="Planilha9"/>
  <dimension ref="A1:I47"/>
  <sheetViews>
    <sheetView showGridLines="0" zoomScaleNormal="100" workbookViewId="0">
      <pane ySplit="5" topLeftCell="A54" activePane="bottomLeft" state="frozen"/>
      <selection pane="bottomLeft" activeCell="F1" sqref="F1"/>
    </sheetView>
  </sheetViews>
  <sheetFormatPr defaultRowHeight="15" x14ac:dyDescent="0.25"/>
  <cols>
    <col min="1" max="1" width="19" customWidth="1"/>
    <col min="2" max="2" width="27.140625" customWidth="1"/>
    <col min="3" max="3" width="18" customWidth="1"/>
    <col min="4" max="4" width="16.5703125" customWidth="1"/>
    <col min="5" max="5" width="17.7109375" customWidth="1"/>
    <col min="6" max="6" width="12.42578125" customWidth="1"/>
    <col min="7" max="7" width="16.140625" customWidth="1"/>
    <col min="8" max="8" width="12.85546875" customWidth="1"/>
    <col min="9" max="9" width="11.140625" customWidth="1"/>
  </cols>
  <sheetData>
    <row r="1" spans="1:9" ht="53.25" customHeight="1" x14ac:dyDescent="0.5">
      <c r="A1" s="4"/>
      <c r="B1" s="1"/>
      <c r="D1" s="15"/>
    </row>
    <row r="2" spans="1:9" ht="11.25" customHeight="1" x14ac:dyDescent="0.5">
      <c r="A2" s="4"/>
      <c r="B2" s="1"/>
    </row>
    <row r="3" spans="1:9" ht="23.25" customHeight="1" x14ac:dyDescent="0.45">
      <c r="A3" s="91" t="s">
        <v>99</v>
      </c>
      <c r="B3" s="2"/>
      <c r="C3" s="30" t="s">
        <v>42</v>
      </c>
      <c r="D3" s="16">
        <f>SUBTOTAL(9,INVEST[Valor R$])</f>
        <v>29815</v>
      </c>
      <c r="E3" s="5"/>
      <c r="G3" s="6"/>
    </row>
    <row r="4" spans="1:9" ht="12" customHeight="1" x14ac:dyDescent="0.5">
      <c r="B4" s="2"/>
      <c r="I4" s="3"/>
    </row>
    <row r="5" spans="1:9" ht="15.75" x14ac:dyDescent="0.25">
      <c r="A5" s="109" t="s">
        <v>100</v>
      </c>
      <c r="B5" s="109" t="s">
        <v>87</v>
      </c>
      <c r="C5" s="109" t="s">
        <v>98</v>
      </c>
      <c r="D5" s="109" t="s">
        <v>77</v>
      </c>
      <c r="E5" s="109" t="s">
        <v>86</v>
      </c>
      <c r="F5" s="109" t="s">
        <v>88</v>
      </c>
    </row>
    <row r="6" spans="1:9" x14ac:dyDescent="0.25">
      <c r="A6" s="22" t="s">
        <v>101</v>
      </c>
      <c r="B6" s="23">
        <v>330</v>
      </c>
      <c r="C6" s="23" t="s">
        <v>89</v>
      </c>
      <c r="D6" s="66">
        <v>45292</v>
      </c>
      <c r="E6" s="67" t="str">
        <f>TEXT(INVEST[[#This Row],[Data]],"mmmm")</f>
        <v>janeiro</v>
      </c>
      <c r="F6" s="24">
        <f>YEAR(INVEST[[#This Row],[Data]])</f>
        <v>2024</v>
      </c>
      <c r="G6" s="9"/>
      <c r="I6" s="9"/>
    </row>
    <row r="7" spans="1:9" x14ac:dyDescent="0.25">
      <c r="A7" s="22" t="s">
        <v>81</v>
      </c>
      <c r="B7" s="23">
        <v>240</v>
      </c>
      <c r="C7" s="23" t="s">
        <v>89</v>
      </c>
      <c r="D7" s="66">
        <v>45323</v>
      </c>
      <c r="E7" s="67" t="str">
        <f>TEXT(INVEST[[#This Row],[Data]],"mmmm")</f>
        <v>fevereiro</v>
      </c>
      <c r="F7" s="24">
        <f>YEAR(INVEST[[#This Row],[Data]])</f>
        <v>2024</v>
      </c>
    </row>
    <row r="8" spans="1:9" x14ac:dyDescent="0.25">
      <c r="A8" s="22" t="s">
        <v>101</v>
      </c>
      <c r="B8" s="23">
        <v>330</v>
      </c>
      <c r="C8" s="23" t="s">
        <v>89</v>
      </c>
      <c r="D8" s="66">
        <v>45352</v>
      </c>
      <c r="E8" s="67" t="str">
        <f>TEXT(INVEST[[#This Row],[Data]],"mmmm")</f>
        <v>março</v>
      </c>
      <c r="F8" s="24">
        <f>YEAR(INVEST[[#This Row],[Data]])</f>
        <v>2024</v>
      </c>
    </row>
    <row r="9" spans="1:9" x14ac:dyDescent="0.25">
      <c r="A9" s="22" t="s">
        <v>81</v>
      </c>
      <c r="B9" s="23">
        <v>350</v>
      </c>
      <c r="C9" s="23" t="s">
        <v>90</v>
      </c>
      <c r="D9" s="66">
        <v>45358</v>
      </c>
      <c r="E9" s="67" t="str">
        <f>TEXT(INVEST[[#This Row],[Data]],"mmmm")</f>
        <v>março</v>
      </c>
      <c r="F9" s="24">
        <f>YEAR(INVEST[[#This Row],[Data]])</f>
        <v>2024</v>
      </c>
    </row>
    <row r="10" spans="1:9" x14ac:dyDescent="0.25">
      <c r="A10" s="22" t="s">
        <v>101</v>
      </c>
      <c r="B10" s="23">
        <v>330</v>
      </c>
      <c r="C10" s="23" t="s">
        <v>89</v>
      </c>
      <c r="D10" s="66">
        <v>45383</v>
      </c>
      <c r="E10" s="67" t="str">
        <f>TEXT(INVEST[[#This Row],[Data]],"mmmm")</f>
        <v>abril</v>
      </c>
      <c r="F10" s="24">
        <f>YEAR(INVEST[[#This Row],[Data]])</f>
        <v>2024</v>
      </c>
    </row>
    <row r="11" spans="1:9" x14ac:dyDescent="0.25">
      <c r="A11" s="22" t="s">
        <v>101</v>
      </c>
      <c r="B11" s="23">
        <v>330</v>
      </c>
      <c r="C11" s="23" t="s">
        <v>89</v>
      </c>
      <c r="D11" s="66">
        <v>45413</v>
      </c>
      <c r="E11" s="67" t="str">
        <f>TEXT(INVEST[[#This Row],[Data]],"mmmm")</f>
        <v>maio</v>
      </c>
      <c r="F11" s="24">
        <f>YEAR(INVEST[[#This Row],[Data]])</f>
        <v>2024</v>
      </c>
    </row>
    <row r="12" spans="1:9" x14ac:dyDescent="0.25">
      <c r="A12" s="22" t="s">
        <v>79</v>
      </c>
      <c r="B12" s="23">
        <v>540</v>
      </c>
      <c r="C12" s="23" t="s">
        <v>90</v>
      </c>
      <c r="D12" s="66">
        <v>45455</v>
      </c>
      <c r="E12" s="67" t="str">
        <f>TEXT(INVEST[[#This Row],[Data]],"mmmm")</f>
        <v>junho</v>
      </c>
      <c r="F12" s="24">
        <f>YEAR(INVEST[[#This Row],[Data]])</f>
        <v>2024</v>
      </c>
    </row>
    <row r="13" spans="1:9" x14ac:dyDescent="0.25">
      <c r="A13" s="22" t="s">
        <v>101</v>
      </c>
      <c r="B13" s="23">
        <v>330</v>
      </c>
      <c r="C13" s="23" t="s">
        <v>89</v>
      </c>
      <c r="D13" s="66">
        <v>45444</v>
      </c>
      <c r="E13" s="67" t="str">
        <f>TEXT(INVEST[[#This Row],[Data]],"mmmm")</f>
        <v>junho</v>
      </c>
      <c r="F13" s="24">
        <f>YEAR(INVEST[[#This Row],[Data]])</f>
        <v>2024</v>
      </c>
    </row>
    <row r="14" spans="1:9" x14ac:dyDescent="0.25">
      <c r="A14" s="22" t="s">
        <v>81</v>
      </c>
      <c r="B14" s="23">
        <v>475</v>
      </c>
      <c r="C14" s="23" t="s">
        <v>90</v>
      </c>
      <c r="D14" s="66">
        <v>45486</v>
      </c>
      <c r="E14" s="67" t="str">
        <f>TEXT(INVEST[[#This Row],[Data]],"mmmm")</f>
        <v>julho</v>
      </c>
      <c r="F14" s="24">
        <f>YEAR(INVEST[[#This Row],[Data]])</f>
        <v>2024</v>
      </c>
    </row>
    <row r="15" spans="1:9" x14ac:dyDescent="0.25">
      <c r="A15" s="22" t="s">
        <v>80</v>
      </c>
      <c r="B15" s="23">
        <v>330</v>
      </c>
      <c r="C15" s="23" t="s">
        <v>111</v>
      </c>
      <c r="D15" s="66">
        <v>45491</v>
      </c>
      <c r="E15" s="67" t="str">
        <f>TEXT(INVEST[[#This Row],[Data]],"mmmm")</f>
        <v>julho</v>
      </c>
      <c r="F15" s="24">
        <f>YEAR(INVEST[[#This Row],[Data]])</f>
        <v>2024</v>
      </c>
    </row>
    <row r="16" spans="1:9" x14ac:dyDescent="0.25">
      <c r="A16" s="22" t="s">
        <v>101</v>
      </c>
      <c r="B16" s="23">
        <v>330</v>
      </c>
      <c r="C16" s="23" t="s">
        <v>89</v>
      </c>
      <c r="D16" s="66">
        <v>45474</v>
      </c>
      <c r="E16" s="67" t="str">
        <f>TEXT(INVEST[[#This Row],[Data]],"mmmm")</f>
        <v>julho</v>
      </c>
      <c r="F16" s="24">
        <f>YEAR(INVEST[[#This Row],[Data]])</f>
        <v>2024</v>
      </c>
    </row>
    <row r="17" spans="1:6" x14ac:dyDescent="0.25">
      <c r="A17" s="22" t="s">
        <v>101</v>
      </c>
      <c r="B17" s="23">
        <v>100</v>
      </c>
      <c r="C17" s="23" t="s">
        <v>89</v>
      </c>
      <c r="D17" s="66">
        <v>45506</v>
      </c>
      <c r="E17" s="67" t="str">
        <f>TEXT(INVEST[[#This Row],[Data]],"mmmm")</f>
        <v>agosto</v>
      </c>
      <c r="F17" s="24">
        <f>YEAR(INVEST[[#This Row],[Data]])</f>
        <v>2024</v>
      </c>
    </row>
    <row r="18" spans="1:6" x14ac:dyDescent="0.25">
      <c r="A18" s="22" t="s">
        <v>82</v>
      </c>
      <c r="B18" s="23">
        <v>400</v>
      </c>
      <c r="C18" s="23" t="s">
        <v>90</v>
      </c>
      <c r="D18" s="66">
        <v>45535</v>
      </c>
      <c r="E18" s="67" t="str">
        <f>TEXT(INVEST[[#This Row],[Data]],"mmmm")</f>
        <v>agosto</v>
      </c>
      <c r="F18" s="24">
        <f>YEAR(INVEST[[#This Row],[Data]])</f>
        <v>2024</v>
      </c>
    </row>
    <row r="19" spans="1:6" x14ac:dyDescent="0.25">
      <c r="A19" s="22" t="s">
        <v>81</v>
      </c>
      <c r="B19" s="23">
        <v>4000</v>
      </c>
      <c r="C19" s="23" t="s">
        <v>90</v>
      </c>
      <c r="D19" s="66">
        <v>45549</v>
      </c>
      <c r="E19" s="67" t="str">
        <f>TEXT(INVEST[[#This Row],[Data]],"mmmm")</f>
        <v>setembro</v>
      </c>
      <c r="F19" s="24">
        <f>YEAR(INVEST[[#This Row],[Data]])</f>
        <v>2024</v>
      </c>
    </row>
    <row r="20" spans="1:6" x14ac:dyDescent="0.25">
      <c r="A20" s="22" t="s">
        <v>81</v>
      </c>
      <c r="B20" s="23">
        <v>3600</v>
      </c>
      <c r="C20" s="23" t="s">
        <v>111</v>
      </c>
      <c r="D20" s="66">
        <v>45576</v>
      </c>
      <c r="E20" s="67" t="str">
        <f>TEXT(INVEST[[#This Row],[Data]],"mmmm")</f>
        <v>outubro</v>
      </c>
      <c r="F20" s="24">
        <f>YEAR(INVEST[[#This Row],[Data]])</f>
        <v>2024</v>
      </c>
    </row>
    <row r="21" spans="1:6" x14ac:dyDescent="0.25">
      <c r="A21" s="22" t="s">
        <v>80</v>
      </c>
      <c r="B21" s="23">
        <v>450</v>
      </c>
      <c r="C21" s="23" t="s">
        <v>90</v>
      </c>
      <c r="D21" s="66">
        <v>45600</v>
      </c>
      <c r="E21" s="67" t="str">
        <f>TEXT(INVEST[[#This Row],[Data]],"mmmm")</f>
        <v>novembro</v>
      </c>
      <c r="F21" s="24">
        <f>YEAR(INVEST[[#This Row],[Data]])</f>
        <v>2024</v>
      </c>
    </row>
    <row r="22" spans="1:6" x14ac:dyDescent="0.25">
      <c r="A22" s="22" t="s">
        <v>79</v>
      </c>
      <c r="B22" s="23">
        <v>700</v>
      </c>
      <c r="C22" s="23" t="s">
        <v>111</v>
      </c>
      <c r="D22" s="66">
        <v>45638</v>
      </c>
      <c r="E22" s="67" t="str">
        <f>TEXT(INVEST[[#This Row],[Data]],"mmmm")</f>
        <v>dezembro</v>
      </c>
      <c r="F22" s="24">
        <f>YEAR(INVEST[[#This Row],[Data]])</f>
        <v>2024</v>
      </c>
    </row>
    <row r="23" spans="1:6" x14ac:dyDescent="0.25">
      <c r="A23" s="22" t="s">
        <v>80</v>
      </c>
      <c r="B23" s="23">
        <v>200</v>
      </c>
      <c r="C23" s="23" t="s">
        <v>90</v>
      </c>
      <c r="D23" s="66">
        <v>45577</v>
      </c>
      <c r="E23" s="67" t="str">
        <f>TEXT(INVEST[[#This Row],[Data]],"mmmm")</f>
        <v>outubro</v>
      </c>
      <c r="F23" s="24">
        <f>YEAR(INVEST[[#This Row],[Data]])</f>
        <v>2024</v>
      </c>
    </row>
    <row r="24" spans="1:6" x14ac:dyDescent="0.25">
      <c r="A24" s="22" t="s">
        <v>81</v>
      </c>
      <c r="B24" s="23">
        <v>200</v>
      </c>
      <c r="C24" s="23" t="s">
        <v>89</v>
      </c>
      <c r="D24" s="66">
        <v>45659</v>
      </c>
      <c r="E24" s="67" t="str">
        <f>TEXT(INVEST[[#This Row],[Data]],"mmmm")</f>
        <v>janeiro</v>
      </c>
      <c r="F24" s="24">
        <f>YEAR(INVEST[[#This Row],[Data]])</f>
        <v>2025</v>
      </c>
    </row>
    <row r="25" spans="1:6" x14ac:dyDescent="0.25">
      <c r="A25" s="22" t="s">
        <v>81</v>
      </c>
      <c r="B25" s="23">
        <v>100</v>
      </c>
      <c r="C25" s="23" t="s">
        <v>89</v>
      </c>
      <c r="D25" s="66">
        <v>45690</v>
      </c>
      <c r="E25" s="67" t="str">
        <f>TEXT(INVEST[[#This Row],[Data]],"mmmm")</f>
        <v>fevereiro</v>
      </c>
      <c r="F25" s="24">
        <f>YEAR(INVEST[[#This Row],[Data]])</f>
        <v>2025</v>
      </c>
    </row>
    <row r="26" spans="1:6" x14ac:dyDescent="0.25">
      <c r="A26" s="22" t="s">
        <v>82</v>
      </c>
      <c r="B26" s="23">
        <v>100</v>
      </c>
      <c r="C26" s="23" t="s">
        <v>90</v>
      </c>
      <c r="D26" s="66">
        <v>45723</v>
      </c>
      <c r="E26" s="67" t="str">
        <f>TEXT(INVEST[[#This Row],[Data]],"mmmm")</f>
        <v>março</v>
      </c>
      <c r="F26" s="24">
        <f>YEAR(INVEST[[#This Row],[Data]])</f>
        <v>2025</v>
      </c>
    </row>
    <row r="27" spans="1:6" x14ac:dyDescent="0.25">
      <c r="A27" s="22" t="s">
        <v>81</v>
      </c>
      <c r="B27" s="23">
        <v>870</v>
      </c>
      <c r="C27" s="23" t="s">
        <v>111</v>
      </c>
      <c r="D27" s="66">
        <v>45733</v>
      </c>
      <c r="E27" s="67" t="str">
        <f>TEXT(INVEST[[#This Row],[Data]],"mmmm")</f>
        <v>março</v>
      </c>
      <c r="F27" s="24">
        <f>YEAR(INVEST[[#This Row],[Data]])</f>
        <v>2025</v>
      </c>
    </row>
    <row r="28" spans="1:6" x14ac:dyDescent="0.25">
      <c r="A28" s="22" t="s">
        <v>80</v>
      </c>
      <c r="B28" s="23">
        <v>600</v>
      </c>
      <c r="C28" s="23" t="s">
        <v>89</v>
      </c>
      <c r="D28" s="66">
        <v>45749</v>
      </c>
      <c r="E28" s="67" t="str">
        <f>TEXT(INVEST[[#This Row],[Data]],"mmmm")</f>
        <v>abril</v>
      </c>
      <c r="F28" s="24">
        <f>YEAR(INVEST[[#This Row],[Data]])</f>
        <v>2025</v>
      </c>
    </row>
    <row r="29" spans="1:6" x14ac:dyDescent="0.25">
      <c r="A29" s="22" t="s">
        <v>82</v>
      </c>
      <c r="B29" s="23">
        <v>100</v>
      </c>
      <c r="C29" s="23" t="s">
        <v>89</v>
      </c>
      <c r="D29" s="66">
        <v>45749</v>
      </c>
      <c r="E29" s="67" t="str">
        <f>TEXT(INVEST[[#This Row],[Data]],"mmmm")</f>
        <v>abril</v>
      </c>
      <c r="F29" s="24">
        <f>YEAR(INVEST[[#This Row],[Data]])</f>
        <v>2025</v>
      </c>
    </row>
    <row r="30" spans="1:6" x14ac:dyDescent="0.25">
      <c r="A30" s="22" t="s">
        <v>79</v>
      </c>
      <c r="B30" s="23">
        <v>700</v>
      </c>
      <c r="C30" s="23" t="s">
        <v>89</v>
      </c>
      <c r="D30" s="66">
        <v>45787</v>
      </c>
      <c r="E30" s="67" t="str">
        <f>TEXT(INVEST[[#This Row],[Data]],"mmmm")</f>
        <v>maio</v>
      </c>
      <c r="F30" s="24">
        <f>YEAR(INVEST[[#This Row],[Data]])</f>
        <v>2025</v>
      </c>
    </row>
    <row r="31" spans="1:6" x14ac:dyDescent="0.25">
      <c r="A31" s="22" t="s">
        <v>81</v>
      </c>
      <c r="B31" s="23">
        <v>350</v>
      </c>
      <c r="C31" s="23" t="s">
        <v>90</v>
      </c>
      <c r="D31" s="66">
        <v>45788</v>
      </c>
      <c r="E31" s="67" t="str">
        <f>TEXT(INVEST[[#This Row],[Data]],"mmmm")</f>
        <v>maio</v>
      </c>
      <c r="F31" s="24">
        <f>YEAR(INVEST[[#This Row],[Data]])</f>
        <v>2025</v>
      </c>
    </row>
    <row r="32" spans="1:6" x14ac:dyDescent="0.25">
      <c r="A32" s="22" t="s">
        <v>81</v>
      </c>
      <c r="B32" s="23">
        <v>100</v>
      </c>
      <c r="C32" s="23" t="s">
        <v>89</v>
      </c>
      <c r="D32" s="66">
        <v>45810</v>
      </c>
      <c r="E32" s="67" t="str">
        <f>TEXT(INVEST[[#This Row],[Data]],"mmmm")</f>
        <v>junho</v>
      </c>
      <c r="F32" s="24">
        <f>YEAR(INVEST[[#This Row],[Data]])</f>
        <v>2025</v>
      </c>
    </row>
    <row r="33" spans="1:6" x14ac:dyDescent="0.25">
      <c r="A33" s="22" t="s">
        <v>82</v>
      </c>
      <c r="B33" s="23">
        <v>100</v>
      </c>
      <c r="C33" s="23" t="s">
        <v>89</v>
      </c>
      <c r="D33" s="66">
        <v>45810</v>
      </c>
      <c r="E33" s="67" t="str">
        <f>TEXT(INVEST[[#This Row],[Data]],"mmmm")</f>
        <v>junho</v>
      </c>
      <c r="F33" s="24">
        <f>YEAR(INVEST[[#This Row],[Data]])</f>
        <v>2025</v>
      </c>
    </row>
    <row r="34" spans="1:6" x14ac:dyDescent="0.25">
      <c r="A34" s="22" t="s">
        <v>79</v>
      </c>
      <c r="B34" s="23">
        <v>1800</v>
      </c>
      <c r="C34" s="23" t="s">
        <v>89</v>
      </c>
      <c r="D34" s="66">
        <v>45818</v>
      </c>
      <c r="E34" s="67" t="str">
        <f>TEXT(INVEST[[#This Row],[Data]],"mmmm")</f>
        <v>junho</v>
      </c>
      <c r="F34" s="24">
        <f>YEAR(INVEST[[#This Row],[Data]])</f>
        <v>2025</v>
      </c>
    </row>
    <row r="35" spans="1:6" x14ac:dyDescent="0.25">
      <c r="A35" s="22" t="s">
        <v>81</v>
      </c>
      <c r="B35" s="23">
        <v>5500</v>
      </c>
      <c r="C35" s="23" t="s">
        <v>89</v>
      </c>
      <c r="D35" s="66">
        <v>45818</v>
      </c>
      <c r="E35" s="67" t="str">
        <f>TEXT(INVEST[[#This Row],[Data]],"mmmm")</f>
        <v>junho</v>
      </c>
      <c r="F35" s="24">
        <f>YEAR(INVEST[[#This Row],[Data]])</f>
        <v>2025</v>
      </c>
    </row>
    <row r="36" spans="1:6" x14ac:dyDescent="0.25">
      <c r="A36" s="22" t="s">
        <v>80</v>
      </c>
      <c r="B36" s="23">
        <v>200</v>
      </c>
      <c r="C36" s="23" t="s">
        <v>89</v>
      </c>
      <c r="D36" s="66">
        <v>45818</v>
      </c>
      <c r="E36" s="67" t="str">
        <f>TEXT(INVEST[[#This Row],[Data]],"mmmm")</f>
        <v>junho</v>
      </c>
      <c r="F36" s="24">
        <f>YEAR(INVEST[[#This Row],[Data]])</f>
        <v>2025</v>
      </c>
    </row>
    <row r="37" spans="1:6" x14ac:dyDescent="0.25">
      <c r="A37" s="22" t="s">
        <v>101</v>
      </c>
      <c r="B37" s="23">
        <v>1100</v>
      </c>
      <c r="C37" s="23" t="s">
        <v>89</v>
      </c>
      <c r="D37" s="66">
        <v>45818</v>
      </c>
      <c r="E37" s="67" t="str">
        <f>TEXT(INVEST[[#This Row],[Data]],"mmmm")</f>
        <v>junho</v>
      </c>
      <c r="F37" s="24">
        <f>YEAR(INVEST[[#This Row],[Data]])</f>
        <v>2025</v>
      </c>
    </row>
    <row r="38" spans="1:6" x14ac:dyDescent="0.25">
      <c r="A38" s="22" t="s">
        <v>82</v>
      </c>
      <c r="B38" s="23">
        <v>150</v>
      </c>
      <c r="C38" s="23" t="s">
        <v>89</v>
      </c>
      <c r="D38" s="66">
        <v>45818</v>
      </c>
      <c r="E38" s="67" t="str">
        <f>TEXT(INVEST[[#This Row],[Data]],"mmmm")</f>
        <v>junho</v>
      </c>
      <c r="F38" s="24">
        <f>YEAR(INVEST[[#This Row],[Data]])</f>
        <v>2025</v>
      </c>
    </row>
    <row r="39" spans="1:6" x14ac:dyDescent="0.25">
      <c r="A39" s="22" t="s">
        <v>79</v>
      </c>
      <c r="B39" s="23">
        <v>500</v>
      </c>
      <c r="C39" s="23" t="s">
        <v>89</v>
      </c>
      <c r="D39" s="66">
        <v>45820</v>
      </c>
      <c r="E39" s="67" t="str">
        <f>TEXT(INVEST[[#This Row],[Data]],"mmmm")</f>
        <v>junho</v>
      </c>
      <c r="F39" s="24">
        <f>YEAR(INVEST[[#This Row],[Data]])</f>
        <v>2025</v>
      </c>
    </row>
    <row r="40" spans="1:6" x14ac:dyDescent="0.25">
      <c r="A40" s="22" t="s">
        <v>81</v>
      </c>
      <c r="B40" s="23">
        <v>200</v>
      </c>
      <c r="C40" s="23" t="s">
        <v>89</v>
      </c>
      <c r="D40" s="66">
        <v>45828</v>
      </c>
      <c r="E40" s="67" t="str">
        <f>TEXT(INVEST[[#This Row],[Data]],"mmmm")</f>
        <v>junho</v>
      </c>
      <c r="F40" s="24">
        <f>YEAR(INVEST[[#This Row],[Data]])</f>
        <v>2025</v>
      </c>
    </row>
    <row r="41" spans="1:6" x14ac:dyDescent="0.25">
      <c r="A41" s="22" t="s">
        <v>101</v>
      </c>
      <c r="B41" s="23">
        <v>100</v>
      </c>
      <c r="C41" s="23" t="s">
        <v>89</v>
      </c>
      <c r="D41" s="66">
        <v>45841</v>
      </c>
      <c r="E41" s="67" t="str">
        <f>TEXT(INVEST[[#This Row],[Data]],"mmmm")</f>
        <v>julho</v>
      </c>
      <c r="F41" s="24">
        <f>YEAR(INVEST[[#This Row],[Data]])</f>
        <v>2025</v>
      </c>
    </row>
    <row r="42" spans="1:6" x14ac:dyDescent="0.25">
      <c r="A42" s="22" t="s">
        <v>81</v>
      </c>
      <c r="B42" s="89">
        <v>750</v>
      </c>
      <c r="C42" s="23" t="s">
        <v>89</v>
      </c>
      <c r="D42" s="66">
        <v>45870</v>
      </c>
      <c r="E42" s="67" t="str">
        <f>TEXT(INVEST[[#This Row],[Data]],"mmmm")</f>
        <v>agosto</v>
      </c>
      <c r="F42" s="24">
        <f>YEAR(INVEST[[#This Row],[Data]])</f>
        <v>2025</v>
      </c>
    </row>
    <row r="43" spans="1:6" x14ac:dyDescent="0.25">
      <c r="A43" s="22" t="s">
        <v>101</v>
      </c>
      <c r="B43" s="89">
        <v>870</v>
      </c>
      <c r="C43" s="23" t="s">
        <v>90</v>
      </c>
      <c r="D43" s="66">
        <v>45901</v>
      </c>
      <c r="E43" s="67" t="str">
        <f>TEXT(INVEST[[#This Row],[Data]],"mmmm")</f>
        <v>setembro</v>
      </c>
      <c r="F43" s="24">
        <f>YEAR(INVEST[[#This Row],[Data]])</f>
        <v>2025</v>
      </c>
    </row>
    <row r="44" spans="1:6" x14ac:dyDescent="0.25">
      <c r="A44" s="22" t="s">
        <v>81</v>
      </c>
      <c r="B44" s="89">
        <v>610</v>
      </c>
      <c r="C44" s="23" t="s">
        <v>111</v>
      </c>
      <c r="D44" s="66">
        <v>45931</v>
      </c>
      <c r="E44" s="67" t="str">
        <f>TEXT(INVEST[[#This Row],[Data]],"mmmm")</f>
        <v>outubro</v>
      </c>
      <c r="F44" s="24">
        <f>YEAR(INVEST[[#This Row],[Data]])</f>
        <v>2025</v>
      </c>
    </row>
    <row r="45" spans="1:6" x14ac:dyDescent="0.25">
      <c r="A45" s="22" t="s">
        <v>81</v>
      </c>
      <c r="B45" s="89">
        <v>320</v>
      </c>
      <c r="C45" s="23" t="s">
        <v>111</v>
      </c>
      <c r="D45" s="66">
        <v>45962</v>
      </c>
      <c r="E45" s="67" t="str">
        <f>TEXT(INVEST[[#This Row],[Data]],"mmmm")</f>
        <v>novembro</v>
      </c>
      <c r="F45" s="24">
        <f>YEAR(INVEST[[#This Row],[Data]])</f>
        <v>2025</v>
      </c>
    </row>
    <row r="46" spans="1:6" x14ac:dyDescent="0.25">
      <c r="A46" s="22" t="s">
        <v>81</v>
      </c>
      <c r="B46" s="89">
        <v>750</v>
      </c>
      <c r="C46" s="23" t="s">
        <v>90</v>
      </c>
      <c r="D46" s="66">
        <v>45992</v>
      </c>
      <c r="E46" s="67" t="str">
        <f>TEXT(INVEST[[#This Row],[Data]],"mmmm")</f>
        <v>dezembro</v>
      </c>
      <c r="F46" s="24">
        <f>YEAR(INVEST[[#This Row],[Data]])</f>
        <v>2025</v>
      </c>
    </row>
    <row r="47" spans="1:6" x14ac:dyDescent="0.25">
      <c r="A47" s="22" t="s">
        <v>79</v>
      </c>
      <c r="B47" s="89">
        <v>380</v>
      </c>
      <c r="C47" s="89" t="s">
        <v>89</v>
      </c>
      <c r="D47" s="66">
        <v>46001</v>
      </c>
      <c r="E47" s="67" t="str">
        <f>TEXT(INVEST[[#This Row],[Data]],"mmmm")</f>
        <v>dezembro</v>
      </c>
      <c r="F47" s="24">
        <f>YEAR(INVEST[[#This Row],[Data]])</f>
        <v>2025</v>
      </c>
    </row>
  </sheetData>
  <dataValidations count="2">
    <dataValidation type="list" allowBlank="1" showInputMessage="1" showErrorMessage="1" sqref="A6:A47" xr:uid="{27796326-0E87-4FB8-B42C-75A0826B6478}">
      <formula1>INDIRECT("INVESTIMENTOS[Investimentos]")</formula1>
    </dataValidation>
    <dataValidation type="list" allowBlank="1" showInputMessage="1" showErrorMessage="1" sqref="C6:C47" xr:uid="{3AE040AA-C8F7-4B37-A19F-9CF08F187ADB}">
      <formula1>INDIRECT("FONTE_DESTINO[Fonte/Destino]")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B460C-DC02-4A52-AC24-53570C9C1819}">
  <sheetPr codeName="Planilha5"/>
  <dimension ref="B1:AO61"/>
  <sheetViews>
    <sheetView topLeftCell="C1" zoomScale="70" zoomScaleNormal="70" workbookViewId="0">
      <selection activeCell="T15" sqref="T15"/>
    </sheetView>
  </sheetViews>
  <sheetFormatPr defaultRowHeight="15" x14ac:dyDescent="0.25"/>
  <cols>
    <col min="3" max="3" width="12" bestFit="1" customWidth="1"/>
    <col min="6" max="6" width="14.85546875" style="13" bestFit="1" customWidth="1"/>
    <col min="7" max="7" width="17.140625" style="13" bestFit="1" customWidth="1"/>
    <col min="8" max="8" width="36" bestFit="1" customWidth="1"/>
    <col min="9" max="9" width="11.7109375" customWidth="1"/>
    <col min="11" max="11" width="12.140625" bestFit="1" customWidth="1"/>
    <col min="12" max="12" width="14.5703125" customWidth="1"/>
    <col min="14" max="14" width="23.28515625" customWidth="1"/>
    <col min="15" max="15" width="12.85546875" customWidth="1"/>
    <col min="18" max="18" width="1.7109375" customWidth="1"/>
    <col min="20" max="20" width="11.7109375" bestFit="1" customWidth="1"/>
    <col min="22" max="22" width="54.28515625" bestFit="1" customWidth="1"/>
    <col min="34" max="34" width="16.140625" bestFit="1" customWidth="1"/>
    <col min="35" max="35" width="15.28515625" bestFit="1" customWidth="1"/>
    <col min="36" max="36" width="16" bestFit="1" customWidth="1"/>
    <col min="38" max="40" width="13.28515625" bestFit="1" customWidth="1"/>
    <col min="41" max="41" width="21" bestFit="1" customWidth="1"/>
  </cols>
  <sheetData>
    <row r="1" spans="2:41" x14ac:dyDescent="0.25">
      <c r="B1" t="s">
        <v>108</v>
      </c>
      <c r="C1" s="10">
        <f>MIN(RECEITAS[Data],DESPESAS[Data])</f>
        <v>45292</v>
      </c>
      <c r="F1" s="13" t="s">
        <v>102</v>
      </c>
      <c r="G1" s="114">
        <f>IF(Dashboard!B9="Todos",SUMIFS(RECEITAS[Valor R$],RECEITAS[Ano],Dashboard!B8),SUMIFS(RECEITAS[Valor R$],RECEITAS[Ano],Dashboard!B8,RECEITAS[Mês],Dashboard!B9))</f>
        <v>100365</v>
      </c>
      <c r="H1" t="str" cm="1">
        <f t="array" ref="H1:H5">RECEITA[]</f>
        <v>Salário</v>
      </c>
      <c r="I1" s="7">
        <f>IF(Dashboard!$B$9="Todos",SUMIFS(RECEITAS[Valor R$],RECEITAS[Origem],$H1,RECEITAS[Ano],Dashboard!$B$8),SUMIFS(RECEITAS[Valor R$],RECEITAS[Origem],$H1,RECEITAS[Ano],Dashboard!$B$8,RECEITAS[Mês],Dashboard!$B$9))</f>
        <v>84400</v>
      </c>
      <c r="K1" t="s">
        <v>8</v>
      </c>
      <c r="L1" s="14">
        <f>IF(Dashboard!$B$9="Todos",SUMIFS(DESPESAS[Valor R$],DESPESAS[Tipo de Gasto],K1,DESPESAS[Ano],Dashboard!$B$8),SUMIFS(DESPESAS[Valor R$],DESPESAS[Tipo de Gasto],K1,DESPESAS[Ano],Dashboard!$B$8,DESPESAS[Mês],Dashboard!$B$9))</f>
        <v>26130</v>
      </c>
      <c r="N1" t="s">
        <v>79</v>
      </c>
      <c r="O1" s="7">
        <f>IF(Dashboard!$B$9="Todos",SUMIFS(INVEST[Valor R$],INVEST[Investimento],N1,INVEST[Ano],Dashboard!$B$8),SUMIFS(INVEST[Valor R$],INVEST[Investimento],N1,INVEST[Ano],Dashboard!$B$8,INVEST[Mês],Dashboard!$B$9))</f>
        <v>1240</v>
      </c>
      <c r="Q1" t="s">
        <v>105</v>
      </c>
      <c r="T1" t="s">
        <v>180</v>
      </c>
      <c r="V1" t="s">
        <v>112</v>
      </c>
      <c r="W1">
        <v>2024</v>
      </c>
      <c r="Z1">
        <v>1</v>
      </c>
      <c r="AB1">
        <v>1</v>
      </c>
      <c r="AD1">
        <f>W1</f>
        <v>2024</v>
      </c>
      <c r="AE1">
        <v>1</v>
      </c>
      <c r="AH1" t="s">
        <v>98</v>
      </c>
      <c r="AI1" t="s">
        <v>171</v>
      </c>
      <c r="AJ1" t="s">
        <v>172</v>
      </c>
      <c r="AK1" t="s">
        <v>173</v>
      </c>
      <c r="AL1" t="s">
        <v>177</v>
      </c>
      <c r="AM1" t="s">
        <v>175</v>
      </c>
      <c r="AN1" t="s">
        <v>176</v>
      </c>
      <c r="AO1" t="s">
        <v>178</v>
      </c>
    </row>
    <row r="2" spans="2:41" x14ac:dyDescent="0.25">
      <c r="B2" t="s">
        <v>109</v>
      </c>
      <c r="C2" s="10">
        <f>MAX(RECEITAS[Data],DESPESAS[Data])</f>
        <v>45992</v>
      </c>
      <c r="F2" s="13" t="s">
        <v>103</v>
      </c>
      <c r="G2" s="114">
        <f>IF(Dashboard!B9="Todos",SUMIFS(DESPESAS[Valor R$],DESPESAS[Ano],Dashboard!B8),SUMIFS(DESPESAS[Valor R$],DESPESAS[Ano],Dashboard!B8,DESPESAS[Mês],Dashboard!B9))</f>
        <v>44217</v>
      </c>
      <c r="H2" t="str">
        <v>Férias</v>
      </c>
      <c r="I2" s="7">
        <f>IF(Dashboard!$B$9="Todos",SUMIFS(RECEITAS[Valor R$],RECEITAS[Origem],$H2,RECEITAS[Ano],Dashboard!$B$8),SUMIFS(RECEITAS[Valor R$],RECEITAS[Origem],$H2,RECEITAS[Ano],Dashboard!$B$8,RECEITAS[Mês],Dashboard!$B$9))</f>
        <v>1400</v>
      </c>
      <c r="K2" t="s">
        <v>4</v>
      </c>
      <c r="L2" s="14">
        <f>IF(Dashboard!$B$9="Todos",SUMIFS(DESPESAS[Valor R$],DESPESAS[Tipo de Gasto],K2,DESPESAS[Ano],Dashboard!$B$8),SUMIFS(DESPESAS[Valor R$],DESPESAS[Tipo de Gasto],K2,DESPESAS[Ano],Dashboard!$B$8,DESPESAS[Mês],Dashboard!$B$9))</f>
        <v>5530</v>
      </c>
      <c r="N2" t="s">
        <v>80</v>
      </c>
      <c r="O2" s="7">
        <f>IF(Dashboard!$B$9="Todos",SUMIFS(INVEST[Valor R$],INVEST[Investimento],N2,INVEST[Ano],Dashboard!$B$8),SUMIFS(INVEST[Valor R$],INVEST[Investimento],N2,INVEST[Ano],Dashboard!$B$8,INVEST[Mês],Dashboard!$B$9))</f>
        <v>980</v>
      </c>
      <c r="Q2" s="9" t="s">
        <v>30</v>
      </c>
      <c r="R2" s="9"/>
      <c r="S2" s="13" t="s">
        <v>181</v>
      </c>
      <c r="T2" s="7">
        <f ca="1">IF($Z$2="Receita",SUMIFS(RECEITAS[Valor R$],RECEITAS[Origem],Auxiliar!$AB$2,RECEITAS[Mês],Auxiliar!S2,RECEITAS[Ano],Real!$F$4),IF($Z$2="Investimentos",SUMIFS(INVEST[Valor R$],INVEST[Investimento],Auxiliar!$AB$2,INVEST[Mês],Auxiliar!S2,INVEST[Ano],Real!$F$4),SUMIFS(DESPESAS[Valor R$],DESPESAS[Detalhamento],Auxiliar!$AB$2,DESPESAS[Mês],Auxiliar!S2,DESPESAS[Ano],Real!$F$4)))</f>
        <v>7000</v>
      </c>
      <c r="V2" t="s">
        <v>113</v>
      </c>
      <c r="W2">
        <f>YEAR(MAX(RECEITAS[Data],DESPESAS[Data],INVEST[Data]))</f>
        <v>2025</v>
      </c>
      <c r="Z2" t="str" cm="1">
        <f t="array" ref="Z2">INDEX(OPCOES[Opções],Z1)</f>
        <v>Receita</v>
      </c>
      <c r="AB2" t="str" cm="1">
        <f t="array" aca="1" ref="AB2" ca="1">OFFSET(INDIRECT(Z3),AB1-1,0)</f>
        <v>Salário</v>
      </c>
      <c r="AD2">
        <f t="shared" ref="AD2:AD14" si="0">IFERROR(IF(AD1+1&gt;$W$2,"",AD1+1),"")</f>
        <v>2025</v>
      </c>
      <c r="AE2" cm="1">
        <f t="array" ref="AE2">INDEX(AD:AD,AE1)</f>
        <v>2024</v>
      </c>
      <c r="AH2" t="str" cm="1">
        <f t="array" ref="AH2:AH5">FONTE_DESTINO[]</f>
        <v>Banco do Brasil</v>
      </c>
      <c r="AI2">
        <f>IF(Dashboard!$B$9="Todos",SUMIFS(RECEITAS[Valor R$],RECEITAS[Ano],Dashboard!$B$8,RECEITAS[Destino],Auxiliar!AH2),SUMIFS(RECEITAS[Valor R$],RECEITAS[Ano],Dashboard!$B$8,RECEITAS[Mês],Dashboard!$B$9,RECEITAS[Destino],Auxiliar!AH2))</f>
        <v>77660</v>
      </c>
      <c r="AJ2" s="21">
        <f>IF(Dashboard!$B$9="Todos",SUMIFS(DESPESAS[Valor R$],DESPESAS[Ano],Dashboard!$B$8,DESPESAS[Fonte],Auxiliar!AH2),SUMIFS(DESPESAS[Valor R$],DESPESAS[Ano],Dashboard!$B$8,DESPESAS[Mês],Dashboard!$B$9,DESPESAS[Fonte],Auxiliar!AH2))</f>
        <v>38015</v>
      </c>
      <c r="AK2">
        <f>IF(Dashboard!$B$9="Todos",SUMIFS(INVEST[Valor R$],INVEST[Ano],Dashboard!$B$8,INVEST[Fonte],Auxiliar!AH2),SUMIFS(INVEST[Valor R$],INVEST[Ano],Dashboard!$B$8,INVEST[Mês],Dashboard!$B$9,INVEST[Fonte],Auxiliar!AH2))</f>
        <v>2320</v>
      </c>
      <c r="AL2" s="21">
        <f>AI2-AJ2-AK2</f>
        <v>37325</v>
      </c>
      <c r="AM2" s="112">
        <f>IF(AL2&gt;0,AL2,NA())</f>
        <v>37325</v>
      </c>
      <c r="AN2" s="112" t="e">
        <f>IF(AL2&lt;0,-AL2,NA())</f>
        <v>#N/A</v>
      </c>
      <c r="AO2" s="112">
        <f>ABS(AL2)</f>
        <v>37325</v>
      </c>
    </row>
    <row r="3" spans="2:41" x14ac:dyDescent="0.25">
      <c r="F3" s="13" t="s">
        <v>78</v>
      </c>
      <c r="G3" s="114">
        <f>IF(Dashboard!B9="Todos",SUMIFS(INVEST[Valor R$],INVEST[Ano],Dashboard!B8),SUMIFS(INVEST[Valor R$],INVEST[Ano],Dashboard!B8,INVEST[Mês],Dashboard!B9))</f>
        <v>13365</v>
      </c>
      <c r="H3" t="str">
        <v>13º Salário</v>
      </c>
      <c r="I3" s="7">
        <f>IF(Dashboard!$B$9="Todos",SUMIFS(RECEITAS[Valor R$],RECEITAS[Origem],$H3,RECEITAS[Ano],Dashboard!$B$8),SUMIFS(RECEITAS[Valor R$],RECEITAS[Origem],$H3,RECEITAS[Ano],Dashboard!$B$8,RECEITAS[Mês],Dashboard!$B$9))</f>
        <v>2000</v>
      </c>
      <c r="K3" t="s">
        <v>13</v>
      </c>
      <c r="L3" s="14">
        <f>IF(Dashboard!$B$9="Todos",SUMIFS(DESPESAS[Valor R$],DESPESAS[Tipo de Gasto],K3,DESPESAS[Ano],Dashboard!$B$8),SUMIFS(DESPESAS[Valor R$],DESPESAS[Tipo de Gasto],K3,DESPESAS[Ano],Dashboard!$B$8,DESPESAS[Mês],Dashboard!$B$9))</f>
        <v>1345</v>
      </c>
      <c r="N3" t="s">
        <v>81</v>
      </c>
      <c r="O3" s="7">
        <f>IF(Dashboard!$B$9="Todos",SUMIFS(INVEST[Valor R$],INVEST[Investimento],N3,INVEST[Ano],Dashboard!$B$8),SUMIFS(INVEST[Valor R$],INVEST[Investimento],N3,INVEST[Ano],Dashboard!$B$8,INVEST[Mês],Dashboard!$B$9))</f>
        <v>8665</v>
      </c>
      <c r="Q3" s="9" t="s">
        <v>31</v>
      </c>
      <c r="R3" s="9"/>
      <c r="S3" s="13" t="s">
        <v>182</v>
      </c>
      <c r="T3" s="7">
        <f ca="1">IF($Z$2="Receita",SUMIFS(RECEITAS[Valor R$],RECEITAS[Origem],Auxiliar!$AB$2,RECEITAS[Mês],Auxiliar!S3,RECEITAS[Ano],Real!$F$4),IF($Z$2="Investimentos",SUMIFS(INVEST[Valor R$],INVEST[Investimento],Auxiliar!$AB$2,INVEST[Mês],Auxiliar!S3,INVEST[Ano],Real!$F$4),SUMIFS(DESPESAS[Valor R$],DESPESAS[Detalhamento],Auxiliar!$AB$2,DESPESAS[Mês],Auxiliar!S3,DESPESAS[Ano],Real!$F$4)))</f>
        <v>7000</v>
      </c>
      <c r="V3" t="s">
        <v>122</v>
      </c>
      <c r="Z3" t="str">
        <f>ADDRESS(2,MATCH(Z2,Cadastros!1:1,0),,,"Cadastros")</f>
        <v>Cadastros!$N$2</v>
      </c>
      <c r="AD3" t="str">
        <f t="shared" si="0"/>
        <v/>
      </c>
      <c r="AH3" t="str">
        <v>Itaú</v>
      </c>
      <c r="AI3">
        <f>IF(Dashboard!$B$9="Todos",SUMIFS(RECEITAS[Valor R$],RECEITAS[Ano],Dashboard!$B$8,RECEITAS[Destino],Auxiliar!AH3),SUMIFS(RECEITAS[Valor R$],RECEITAS[Ano],Dashboard!$B$8,RECEITAS[Mês],Dashboard!$B$9,RECEITAS[Destino],Auxiliar!AH3))</f>
        <v>19090</v>
      </c>
      <c r="AJ3" s="21">
        <f>IF(Dashboard!$B$9="Todos",SUMIFS(DESPESAS[Valor R$],DESPESAS[Ano],Dashboard!$B$8,DESPESAS[Fonte],Auxiliar!AH3),SUMIFS(DESPESAS[Valor R$],DESPESAS[Ano],Dashboard!$B$8,DESPESAS[Mês],Dashboard!$B$9,DESPESAS[Fonte],Auxiliar!AH3))</f>
        <v>450</v>
      </c>
      <c r="AK3">
        <f>IF(Dashboard!$B$9="Todos",SUMIFS(INVEST[Valor R$],INVEST[Ano],Dashboard!$B$8,INVEST[Fonte],Auxiliar!AH3),SUMIFS(INVEST[Valor R$],INVEST[Ano],Dashboard!$B$8,INVEST[Mês],Dashboard!$B$9,INVEST[Fonte],Auxiliar!AH3))</f>
        <v>4630</v>
      </c>
      <c r="AL3" s="21">
        <f t="shared" ref="AL3:AL5" si="1">AI3-AJ3-AK3</f>
        <v>14010</v>
      </c>
      <c r="AM3" s="112">
        <f t="shared" ref="AM3:AM5" si="2">IF(AL3&gt;0,AL3,NA())</f>
        <v>14010</v>
      </c>
      <c r="AN3" s="112" t="e">
        <f t="shared" ref="AN3:AN5" si="3">IF(AL3&lt;0,-AL3,NA())</f>
        <v>#N/A</v>
      </c>
      <c r="AO3" s="112">
        <f t="shared" ref="AO3:AO5" si="4">ABS(AL3)</f>
        <v>14010</v>
      </c>
    </row>
    <row r="4" spans="2:41" x14ac:dyDescent="0.25">
      <c r="B4" t="s">
        <v>77</v>
      </c>
      <c r="C4" t="s">
        <v>107</v>
      </c>
      <c r="F4" s="13" t="s">
        <v>104</v>
      </c>
      <c r="G4" s="114">
        <f>G1-G2-G3</f>
        <v>42783</v>
      </c>
      <c r="H4" t="str">
        <v>Bônus</v>
      </c>
      <c r="I4" s="7">
        <f>IF(Dashboard!$B$9="Todos",SUMIFS(RECEITAS[Valor R$],RECEITAS[Origem],$H4,RECEITAS[Ano],Dashboard!$B$8),SUMIFS(RECEITAS[Valor R$],RECEITAS[Origem],$H4,RECEITAS[Ano],Dashboard!$B$8,RECEITAS[Mês],Dashboard!$B$9))</f>
        <v>8950</v>
      </c>
      <c r="K4" t="s">
        <v>16</v>
      </c>
      <c r="L4" s="14">
        <f>IF(Dashboard!$B$9="Todos",SUMIFS(DESPESAS[Valor R$],DESPESAS[Tipo de Gasto],K4,DESPESAS[Ano],Dashboard!$B$8),SUMIFS(DESPESAS[Valor R$],DESPESAS[Tipo de Gasto],K4,DESPESAS[Ano],Dashboard!$B$8,DESPESAS[Mês],Dashboard!$B$9))</f>
        <v>4300</v>
      </c>
      <c r="N4" t="s">
        <v>82</v>
      </c>
      <c r="O4" s="7">
        <f>IF(Dashboard!$B$9="Todos",SUMIFS(INVEST[Valor R$],INVEST[Investimento],N4,INVEST[Ano],Dashboard!$B$8),SUMIFS(INVEST[Valor R$],INVEST[Investimento],N4,INVEST[Ano],Dashboard!$B$8,INVEST[Mês],Dashboard!$B$9))</f>
        <v>400</v>
      </c>
      <c r="Q4" s="9" t="s">
        <v>32</v>
      </c>
      <c r="R4" s="9"/>
      <c r="S4" s="13" t="s">
        <v>183</v>
      </c>
      <c r="T4" s="7">
        <f ca="1">IF($Z$2="Receita",SUMIFS(RECEITAS[Valor R$],RECEITAS[Origem],Auxiliar!$AB$2,RECEITAS[Mês],Auxiliar!S4,RECEITAS[Ano],Real!$F$4),IF($Z$2="Investimentos",SUMIFS(INVEST[Valor R$],INVEST[Investimento],Auxiliar!$AB$2,INVEST[Mês],Auxiliar!S4,INVEST[Ano],Real!$F$4),SUMIFS(DESPESAS[Valor R$],DESPESAS[Detalhamento],Auxiliar!$AB$2,DESPESAS[Mês],Auxiliar!S4,DESPESAS[Ano],Real!$F$4)))</f>
        <v>7000</v>
      </c>
      <c r="Z4" t="str">
        <f>MID(Z3,SEARCH("$",Z3)+1,1)</f>
        <v>N</v>
      </c>
      <c r="AD4" t="str">
        <f t="shared" si="0"/>
        <v/>
      </c>
      <c r="AH4" t="str">
        <v>Nubank</v>
      </c>
      <c r="AI4">
        <f>IF(Dashboard!$B$9="Todos",SUMIFS(RECEITAS[Valor R$],RECEITAS[Ano],Dashboard!$B$8,RECEITAS[Destino],Auxiliar!AH4),SUMIFS(RECEITAS[Valor R$],RECEITAS[Ano],Dashboard!$B$8,RECEITAS[Mês],Dashboard!$B$9,RECEITAS[Destino],Auxiliar!AH4))</f>
        <v>0</v>
      </c>
      <c r="AJ4" s="21">
        <f>IF(Dashboard!$B$9="Todos",SUMIFS(DESPESAS[Valor R$],DESPESAS[Ano],Dashboard!$B$8,DESPESAS[Fonte],Auxiliar!AH4),SUMIFS(DESPESAS[Valor R$],DESPESAS[Ano],Dashboard!$B$8,DESPESAS[Mês],Dashboard!$B$9,DESPESAS[Fonte],Auxiliar!AH4))</f>
        <v>5752</v>
      </c>
      <c r="AK4">
        <f>IF(Dashboard!$B$9="Todos",SUMIFS(INVEST[Valor R$],INVEST[Ano],Dashboard!$B$8,INVEST[Fonte],Auxiliar!AH4),SUMIFS(INVEST[Valor R$],INVEST[Ano],Dashboard!$B$8,INVEST[Mês],Dashboard!$B$9,INVEST[Fonte],Auxiliar!AH4))</f>
        <v>6415</v>
      </c>
      <c r="AL4" s="21">
        <f t="shared" si="1"/>
        <v>-12167</v>
      </c>
      <c r="AM4" s="112" t="e">
        <f t="shared" si="2"/>
        <v>#N/A</v>
      </c>
      <c r="AN4" s="112">
        <f t="shared" si="3"/>
        <v>12167</v>
      </c>
      <c r="AO4" s="112">
        <f t="shared" si="4"/>
        <v>12167</v>
      </c>
    </row>
    <row r="5" spans="2:41" x14ac:dyDescent="0.25">
      <c r="B5" s="11">
        <f>EOMONTH(C1,-1)+1</f>
        <v>45292</v>
      </c>
      <c r="C5" s="12">
        <f ca="1">IF(B5="","",SUMIFS(RECEITAS[Valor R$],RECEITAS[Origem],$AB$2,RECEITAS[Data],"&gt;=" &amp; B5,RECEITAS[Data], "&lt;=" &amp; EOMONTH(B5,0))+SUMIFS(DESPESAS[Valor R$],DESPESAS[Detalhamento],$AB$2,DESPESAS[Data],"&gt;=" &amp; B5,DESPESAS[Data], "&lt;=" &amp; EOMONTH(B5,0))+SUMIFS(INVEST[Valor R$],INVEST[Investimento],$AB$2,INVEST[Data],"&gt;=" &amp; B5,INVEST[Data], "&lt;=" &amp; EOMONTH(B5,0)))</f>
        <v>7000</v>
      </c>
      <c r="H5" t="str">
        <v>Outras receitas</v>
      </c>
      <c r="I5" s="7">
        <f>IF(Dashboard!$B$9="Todos",SUMIFS(RECEITAS[Valor R$],RECEITAS[Origem],$H5,RECEITAS[Ano],Dashboard!$B$8),SUMIFS(RECEITAS[Valor R$],RECEITAS[Origem],$H5,RECEITAS[Ano],Dashboard!$B$8,RECEITAS[Mês],Dashboard!$B$9))</f>
        <v>3615</v>
      </c>
      <c r="K5" t="s">
        <v>23</v>
      </c>
      <c r="L5" s="14">
        <f>IF(Dashboard!$B$9="Todos",SUMIFS(DESPESAS[Valor R$],DESPESAS[Tipo de Gasto],K5,DESPESAS[Ano],Dashboard!$B$8),SUMIFS(DESPESAS[Valor R$],DESPESAS[Tipo de Gasto],K5,DESPESAS[Ano],Dashboard!$B$8,DESPESAS[Mês],Dashboard!$B$9))</f>
        <v>2087</v>
      </c>
      <c r="N5" t="s">
        <v>101</v>
      </c>
      <c r="O5" s="7">
        <f>IF(Dashboard!$B$9="Todos",SUMIFS(INVEST[Valor R$],INVEST[Investimento],N5,INVEST[Ano],Dashboard!$B$8),SUMIFS(INVEST[Valor R$],INVEST[Investimento],N5,INVEST[Ano],Dashboard!$B$8,INVEST[Mês],Dashboard!$B$9))</f>
        <v>2080</v>
      </c>
      <c r="Q5" s="9" t="s">
        <v>33</v>
      </c>
      <c r="R5" s="9"/>
      <c r="S5" s="13" t="s">
        <v>184</v>
      </c>
      <c r="T5" s="7">
        <f ca="1">IF($Z$2="Receita",SUMIFS(RECEITAS[Valor R$],RECEITAS[Origem],Auxiliar!$AB$2,RECEITAS[Mês],Auxiliar!S5,RECEITAS[Ano],Real!$F$4),IF($Z$2="Investimentos",SUMIFS(INVEST[Valor R$],INVEST[Investimento],Auxiliar!$AB$2,INVEST[Mês],Auxiliar!S5,INVEST[Ano],Real!$F$4),SUMIFS(DESPESAS[Valor R$],DESPESAS[Detalhamento],Auxiliar!$AB$2,DESPESAS[Mês],Auxiliar!S5,DESPESAS[Ano],Real!$F$4)))</f>
        <v>7000</v>
      </c>
      <c r="AD5" t="str">
        <f t="shared" si="0"/>
        <v/>
      </c>
      <c r="AH5" t="str">
        <v>Dinheiro</v>
      </c>
      <c r="AI5">
        <f>IF(Dashboard!$B$9="Todos",SUMIFS(RECEITAS[Valor R$],RECEITAS[Ano],Dashboard!$B$8,RECEITAS[Destino],Auxiliar!AH5),SUMIFS(RECEITAS[Valor R$],RECEITAS[Ano],Dashboard!$B$8,RECEITAS[Mês],Dashboard!$B$9,RECEITAS[Destino],Auxiliar!AH5))</f>
        <v>3615</v>
      </c>
      <c r="AJ5" s="21">
        <f>IF(Dashboard!$B$9="Todos",SUMIFS(DESPESAS[Valor R$],DESPESAS[Ano],Dashboard!$B$8,DESPESAS[Fonte],Auxiliar!AH5),SUMIFS(DESPESAS[Valor R$],DESPESAS[Ano],Dashboard!$B$8,DESPESAS[Mês],Dashboard!$B$9,DESPESAS[Fonte],Auxiliar!AH5))</f>
        <v>0</v>
      </c>
      <c r="AK5">
        <f>IF(Dashboard!$B$9="Todos",SUMIFS(INVEST[Valor R$],INVEST[Ano],Dashboard!$B$8,INVEST[Fonte],Auxiliar!AH5),SUMIFS(INVEST[Valor R$],INVEST[Ano],Dashboard!$B$8,INVEST[Mês],Dashboard!$B$9,INVEST[Fonte],Auxiliar!AH5))</f>
        <v>0</v>
      </c>
      <c r="AL5" s="21">
        <f t="shared" si="1"/>
        <v>3615</v>
      </c>
      <c r="AM5" s="112">
        <f t="shared" si="2"/>
        <v>3615</v>
      </c>
      <c r="AN5" s="112" t="e">
        <f t="shared" si="3"/>
        <v>#N/A</v>
      </c>
      <c r="AO5" s="112">
        <f t="shared" si="4"/>
        <v>3615</v>
      </c>
    </row>
    <row r="6" spans="2:41" x14ac:dyDescent="0.25">
      <c r="B6" s="11">
        <f t="shared" ref="B6:B37" si="5">IFERROR(IF(EOMONTH(B5,0)+1&gt;$C$2,"",EOMONTH(B5,0)+1),"")</f>
        <v>45323</v>
      </c>
      <c r="C6" s="12">
        <f ca="1">IF(B6="","",SUMIFS(RECEITAS[Valor R$],RECEITAS[Origem],$AB$2,RECEITAS[Data],"&gt;=" &amp; B6,RECEITAS[Data], "&lt;=" &amp; EOMONTH(B6,0))+SUMIFS(DESPESAS[Valor R$],DESPESAS[Detalhamento],$AB$2,DESPESAS[Data],"&gt;=" &amp; B6,DESPESAS[Data], "&lt;=" &amp; EOMONTH(B6,0))+SUMIFS(INVEST[Valor R$],INVEST[Investimento],$AB$2,INVEST[Data],"&gt;=" &amp; B6,INVEST[Data], "&lt;=" &amp; EOMONTH(B6,0)))</f>
        <v>7000</v>
      </c>
      <c r="I6" s="7"/>
      <c r="K6" t="s">
        <v>19</v>
      </c>
      <c r="L6" s="14">
        <f>IF(Dashboard!$B$9="Todos",SUMIFS(DESPESAS[Valor R$],DESPESAS[Tipo de Gasto],K6,DESPESAS[Ano],Dashboard!$B$8),SUMIFS(DESPESAS[Valor R$],DESPESAS[Tipo de Gasto],K6,DESPESAS[Ano],Dashboard!$B$8,DESPESAS[Mês],Dashboard!$B$9))</f>
        <v>1270</v>
      </c>
      <c r="Q6" s="9" t="s">
        <v>34</v>
      </c>
      <c r="R6" s="9"/>
      <c r="S6" s="13" t="s">
        <v>185</v>
      </c>
      <c r="T6" s="7">
        <f ca="1">IF($Z$2="Receita",SUMIFS(RECEITAS[Valor R$],RECEITAS[Origem],Auxiliar!$AB$2,RECEITAS[Mês],Auxiliar!S6,RECEITAS[Ano],Real!$F$4),IF($Z$2="Investimentos",SUMIFS(INVEST[Valor R$],INVEST[Investimento],Auxiliar!$AB$2,INVEST[Mês],Auxiliar!S6,INVEST[Ano],Real!$F$4),SUMIFS(DESPESAS[Valor R$],DESPESAS[Detalhamento],Auxiliar!$AB$2,DESPESAS[Mês],Auxiliar!S6,DESPESAS[Ano],Real!$F$4)))</f>
        <v>7000</v>
      </c>
      <c r="AD6" t="str">
        <f t="shared" si="0"/>
        <v/>
      </c>
    </row>
    <row r="7" spans="2:41" x14ac:dyDescent="0.25">
      <c r="B7" s="11">
        <f t="shared" si="5"/>
        <v>45352</v>
      </c>
      <c r="C7" s="12">
        <f ca="1">IF(B7="","",SUMIFS(RECEITAS[Valor R$],RECEITAS[Origem],$AB$2,RECEITAS[Data],"&gt;=" &amp; B7,RECEITAS[Data], "&lt;=" &amp; EOMONTH(B7,0))+SUMIFS(DESPESAS[Valor R$],DESPESAS[Detalhamento],$AB$2,DESPESAS[Data],"&gt;=" &amp; B7,DESPESAS[Data], "&lt;=" &amp; EOMONTH(B7,0))+SUMIFS(INVEST[Valor R$],INVEST[Investimento],$AB$2,INVEST[Data],"&gt;=" &amp; B7,INVEST[Data], "&lt;=" &amp; EOMONTH(B7,0)))</f>
        <v>7000</v>
      </c>
      <c r="I7" s="7"/>
      <c r="K7" t="s">
        <v>84</v>
      </c>
      <c r="L7" s="14">
        <f>IF(Dashboard!$B$9="Todos",SUMIFS(DESPESAS[Valor R$],DESPESAS[Tipo de Gasto],K7,DESPESAS[Ano],Dashboard!$B$8),SUMIFS(DESPESAS[Valor R$],DESPESAS[Tipo de Gasto],K7,DESPESAS[Ano],Dashboard!$B$8,DESPESAS[Mês],Dashboard!$B$9))</f>
        <v>1960</v>
      </c>
      <c r="Q7" s="9" t="s">
        <v>35</v>
      </c>
      <c r="R7" s="9"/>
      <c r="S7" s="13" t="s">
        <v>186</v>
      </c>
      <c r="T7" s="7">
        <f ca="1">IF($Z$2="Receita",SUMIFS(RECEITAS[Valor R$],RECEITAS[Origem],Auxiliar!$AB$2,RECEITAS[Mês],Auxiliar!S7,RECEITAS[Ano],Real!$F$4),IF($Z$2="Investimentos",SUMIFS(INVEST[Valor R$],INVEST[Investimento],Auxiliar!$AB$2,INVEST[Mês],Auxiliar!S7,INVEST[Ano],Real!$F$4),SUMIFS(DESPESAS[Valor R$],DESPESAS[Detalhamento],Auxiliar!$AB$2,DESPESAS[Mês],Auxiliar!S7,DESPESAS[Ano],Real!$F$4)))</f>
        <v>7000</v>
      </c>
      <c r="AD7" t="str">
        <f t="shared" si="0"/>
        <v/>
      </c>
      <c r="AE7" s="26">
        <v>1</v>
      </c>
      <c r="AF7" s="26">
        <v>1</v>
      </c>
    </row>
    <row r="8" spans="2:41" x14ac:dyDescent="0.25">
      <c r="B8" s="11">
        <f t="shared" si="5"/>
        <v>45383</v>
      </c>
      <c r="C8" s="12">
        <f ca="1">IF(B8="","",SUMIFS(RECEITAS[Valor R$],RECEITAS[Origem],$AB$2,RECEITAS[Data],"&gt;=" &amp; B8,RECEITAS[Data], "&lt;=" &amp; EOMONTH(B8,0))+SUMIFS(DESPESAS[Valor R$],DESPESAS[Detalhamento],$AB$2,DESPESAS[Data],"&gt;=" &amp; B8,DESPESAS[Data], "&lt;=" &amp; EOMONTH(B8,0))+SUMIFS(INVEST[Valor R$],INVEST[Investimento],$AB$2,INVEST[Data],"&gt;=" &amp; B8,INVEST[Data], "&lt;=" &amp; EOMONTH(B8,0)))</f>
        <v>7000</v>
      </c>
      <c r="I8" s="7"/>
      <c r="K8" t="s">
        <v>24</v>
      </c>
      <c r="L8" s="14">
        <f>IF(Dashboard!$B$9="Todos",SUMIFS(DESPESAS[Valor R$],DESPESAS[Tipo de Gasto],K8,DESPESAS[Ano],Dashboard!$B$8),SUMIFS(DESPESAS[Valor R$],DESPESAS[Tipo de Gasto],K8,DESPESAS[Ano],Dashboard!$B$8,DESPESAS[Mês],Dashboard!$B$9))</f>
        <v>1115</v>
      </c>
      <c r="Q8" s="9" t="s">
        <v>36</v>
      </c>
      <c r="R8" s="9"/>
      <c r="S8" s="13" t="s">
        <v>187</v>
      </c>
      <c r="T8" s="7">
        <f ca="1">IF($Z$2="Receita",SUMIFS(RECEITAS[Valor R$],RECEITAS[Origem],Auxiliar!$AB$2,RECEITAS[Mês],Auxiliar!S8,RECEITAS[Ano],Real!$F$4),IF($Z$2="Investimentos",SUMIFS(INVEST[Valor R$],INVEST[Investimento],Auxiliar!$AB$2,INVEST[Mês],Auxiliar!S8,INVEST[Ano],Real!$F$4),SUMIFS(DESPESAS[Valor R$],DESPESAS[Detalhamento],Auxiliar!$AB$2,DESPESAS[Mês],Auxiliar!S8,DESPESAS[Ano],Real!$F$4)))</f>
        <v>7000</v>
      </c>
      <c r="AD8" t="str">
        <f t="shared" si="0"/>
        <v/>
      </c>
      <c r="AE8" s="25">
        <f>AE7-(Auxiliar!G2/Auxiliar!G1)</f>
        <v>0.55943805111343603</v>
      </c>
      <c r="AF8" s="27">
        <f>AF7-(IF(Auxiliar!G3/Auxiliar!G1&lt;0,-Auxiliar!G3/Auxiliar!G1,Auxiliar!G3/Auxiliar!G1))</f>
        <v>0.86683604842325512</v>
      </c>
    </row>
    <row r="9" spans="2:41" x14ac:dyDescent="0.25">
      <c r="B9" s="11">
        <f t="shared" si="5"/>
        <v>45413</v>
      </c>
      <c r="C9" s="12">
        <f ca="1">IF(B9="","",SUMIFS(RECEITAS[Valor R$],RECEITAS[Origem],$AB$2,RECEITAS[Data],"&gt;=" &amp; B9,RECEITAS[Data], "&lt;=" &amp; EOMONTH(B9,0))+SUMIFS(DESPESAS[Valor R$],DESPESAS[Detalhamento],$AB$2,DESPESAS[Data],"&gt;=" &amp; B9,DESPESAS[Data], "&lt;=" &amp; EOMONTH(B9,0))+SUMIFS(INVEST[Valor R$],INVEST[Investimento],$AB$2,INVEST[Data],"&gt;=" &amp; B9,INVEST[Data], "&lt;=" &amp; EOMONTH(B9,0)))</f>
        <v>7000</v>
      </c>
      <c r="I9" s="7"/>
      <c r="Q9" s="9" t="s">
        <v>37</v>
      </c>
      <c r="R9" s="9"/>
      <c r="S9" s="13" t="s">
        <v>188</v>
      </c>
      <c r="T9" s="7">
        <f ca="1">IF($Z$2="Receita",SUMIFS(RECEITAS[Valor R$],RECEITAS[Origem],Auxiliar!$AB$2,RECEITAS[Mês],Auxiliar!S9,RECEITAS[Ano],Real!$F$4),IF($Z$2="Investimentos",SUMIFS(INVEST[Valor R$],INVEST[Investimento],Auxiliar!$AB$2,INVEST[Mês],Auxiliar!S9,INVEST[Ano],Real!$F$4),SUMIFS(DESPESAS[Valor R$],DESPESAS[Detalhamento],Auxiliar!$AB$2,DESPESAS[Mês],Auxiliar!S9,DESPESAS[Ano],Real!$F$4)))</f>
        <v>7000</v>
      </c>
      <c r="AD9" t="str">
        <f t="shared" si="0"/>
        <v/>
      </c>
    </row>
    <row r="10" spans="2:41" x14ac:dyDescent="0.25">
      <c r="B10" s="11">
        <f t="shared" si="5"/>
        <v>45444</v>
      </c>
      <c r="C10" s="12">
        <f ca="1">IF(B10="","",SUMIFS(RECEITAS[Valor R$],RECEITAS[Origem],$AB$2,RECEITAS[Data],"&gt;=" &amp; B10,RECEITAS[Data], "&lt;=" &amp; EOMONTH(B10,0))+SUMIFS(DESPESAS[Valor R$],DESPESAS[Detalhamento],$AB$2,DESPESAS[Data],"&gt;=" &amp; B10,DESPESAS[Data], "&lt;=" &amp; EOMONTH(B10,0))+SUMIFS(INVEST[Valor R$],INVEST[Investimento],$AB$2,INVEST[Data],"&gt;=" &amp; B10,INVEST[Data], "&lt;=" &amp; EOMONTH(B10,0)))</f>
        <v>7000</v>
      </c>
      <c r="Q10" s="9" t="s">
        <v>38</v>
      </c>
      <c r="R10" s="9"/>
      <c r="S10" s="13" t="s">
        <v>189</v>
      </c>
      <c r="T10" s="7">
        <f ca="1">IF($Z$2="Receita",SUMIFS(RECEITAS[Valor R$],RECEITAS[Origem],Auxiliar!$AB$2,RECEITAS[Mês],Auxiliar!S10,RECEITAS[Ano],Real!$F$4),IF($Z$2="Investimentos",SUMIFS(INVEST[Valor R$],INVEST[Investimento],Auxiliar!$AB$2,INVEST[Mês],Auxiliar!S10,INVEST[Ano],Real!$F$4),SUMIFS(DESPESAS[Valor R$],DESPESAS[Detalhamento],Auxiliar!$AB$2,DESPESAS[Mês],Auxiliar!S10,DESPESAS[Ano],Real!$F$4)))</f>
        <v>7000</v>
      </c>
      <c r="AD10" t="str">
        <f t="shared" si="0"/>
        <v/>
      </c>
    </row>
    <row r="11" spans="2:41" x14ac:dyDescent="0.25">
      <c r="B11" s="11">
        <f t="shared" si="5"/>
        <v>45474</v>
      </c>
      <c r="C11" s="12">
        <f ca="1">IF(B11="","",SUMIFS(RECEITAS[Valor R$],RECEITAS[Origem],$AB$2,RECEITAS[Data],"&gt;=" &amp; B11,RECEITAS[Data], "&lt;=" &amp; EOMONTH(B11,0))+SUMIFS(DESPESAS[Valor R$],DESPESAS[Detalhamento],$AB$2,DESPESAS[Data],"&gt;=" &amp; B11,DESPESAS[Data], "&lt;=" &amp; EOMONTH(B11,0))+SUMIFS(INVEST[Valor R$],INVEST[Investimento],$AB$2,INVEST[Data],"&gt;=" &amp; B11,INVEST[Data], "&lt;=" &amp; EOMONTH(B11,0)))</f>
        <v>7000</v>
      </c>
      <c r="Q11" s="9" t="s">
        <v>39</v>
      </c>
      <c r="R11" s="9"/>
      <c r="S11" s="13" t="s">
        <v>190</v>
      </c>
      <c r="T11" s="7">
        <f ca="1">IF($Z$2="Receita",SUMIFS(RECEITAS[Valor R$],RECEITAS[Origem],Auxiliar!$AB$2,RECEITAS[Mês],Auxiliar!S11,RECEITAS[Ano],Real!$F$4),IF($Z$2="Investimentos",SUMIFS(INVEST[Valor R$],INVEST[Investimento],Auxiliar!$AB$2,INVEST[Mês],Auxiliar!S11,INVEST[Ano],Real!$F$4),SUMIFS(DESPESAS[Valor R$],DESPESAS[Detalhamento],Auxiliar!$AB$2,DESPESAS[Mês],Auxiliar!S11,DESPESAS[Ano],Real!$F$4)))</f>
        <v>7000</v>
      </c>
      <c r="AD11" t="str">
        <f t="shared" si="0"/>
        <v/>
      </c>
    </row>
    <row r="12" spans="2:41" x14ac:dyDescent="0.25">
      <c r="B12" s="11">
        <f t="shared" si="5"/>
        <v>45505</v>
      </c>
      <c r="C12" s="12">
        <f ca="1">IF(B12="","",SUMIFS(RECEITAS[Valor R$],RECEITAS[Origem],$AB$2,RECEITAS[Data],"&gt;=" &amp; B12,RECEITAS[Data], "&lt;=" &amp; EOMONTH(B12,0))+SUMIFS(DESPESAS[Valor R$],DESPESAS[Detalhamento],$AB$2,DESPESAS[Data],"&gt;=" &amp; B12,DESPESAS[Data], "&lt;=" &amp; EOMONTH(B12,0))+SUMIFS(INVEST[Valor R$],INVEST[Investimento],$AB$2,INVEST[Data],"&gt;=" &amp; B12,INVEST[Data], "&lt;=" &amp; EOMONTH(B12,0)))</f>
        <v>7000</v>
      </c>
      <c r="F12" s="13" t="s">
        <v>121</v>
      </c>
      <c r="Q12" s="9" t="s">
        <v>40</v>
      </c>
      <c r="R12" s="9"/>
      <c r="S12" s="13" t="s">
        <v>191</v>
      </c>
      <c r="T12" s="7">
        <f ca="1">IF($Z$2="Receita",SUMIFS(RECEITAS[Valor R$],RECEITAS[Origem],Auxiliar!$AB$2,RECEITAS[Mês],Auxiliar!S12,RECEITAS[Ano],Real!$F$4),IF($Z$2="Investimentos",SUMIFS(INVEST[Valor R$],INVEST[Investimento],Auxiliar!$AB$2,INVEST[Mês],Auxiliar!S12,INVEST[Ano],Real!$F$4),SUMIFS(DESPESAS[Valor R$],DESPESAS[Detalhamento],Auxiliar!$AB$2,DESPESAS[Mês],Auxiliar!S12,DESPESAS[Ano],Real!$F$4)))</f>
        <v>7200</v>
      </c>
      <c r="AD12" t="str">
        <f t="shared" si="0"/>
        <v/>
      </c>
    </row>
    <row r="13" spans="2:41" x14ac:dyDescent="0.25">
      <c r="B13" s="11">
        <f t="shared" si="5"/>
        <v>45536</v>
      </c>
      <c r="C13" s="12">
        <f ca="1">IF(B13="","",SUMIFS(RECEITAS[Valor R$],RECEITAS[Origem],$AB$2,RECEITAS[Data],"&gt;=" &amp; B13,RECEITAS[Data], "&lt;=" &amp; EOMONTH(B13,0))+SUMIFS(DESPESAS[Valor R$],DESPESAS[Detalhamento],$AB$2,DESPESAS[Data],"&gt;=" &amp; B13,DESPESAS[Data], "&lt;=" &amp; EOMONTH(B13,0))+SUMIFS(INVEST[Valor R$],INVEST[Investimento],$AB$2,INVEST[Data],"&gt;=" &amp; B13,INVEST[Data], "&lt;=" &amp; EOMONTH(B13,0)))</f>
        <v>7000</v>
      </c>
      <c r="F13" s="13" t="s">
        <v>119</v>
      </c>
      <c r="G13" s="13">
        <f>IF(Dashboard!$B$9="Todos",SUMIFS(DESPESAS[Valor R$],DESPESAS[Categoria],F13,DESPESAS[Ano],Dashboard!$B$8),SUMIFS(DESPESAS[Valor R$],DESPESAS[Categoria],F13,DESPESAS[Ano],Dashboard!$B$8,DESPESAS[Mês],Dashboard!$B$9))</f>
        <v>28930</v>
      </c>
      <c r="H13" s="27">
        <f>G13/SUM($G$13:$G$14)</f>
        <v>0.65427324332270398</v>
      </c>
      <c r="Q13" s="9" t="s">
        <v>41</v>
      </c>
      <c r="R13" s="9"/>
      <c r="S13" s="13" t="s">
        <v>192</v>
      </c>
      <c r="T13" s="7">
        <f ca="1">IF($Z$2="Receita",SUMIFS(RECEITAS[Valor R$],RECEITAS[Origem],Auxiliar!$AB$2,RECEITAS[Mês],Auxiliar!S13,RECEITAS[Ano],Real!$F$4),IF($Z$2="Investimentos",SUMIFS(INVEST[Valor R$],INVEST[Investimento],Auxiliar!$AB$2,INVEST[Mês],Auxiliar!S13,INVEST[Ano],Real!$F$4),SUMIFS(DESPESAS[Valor R$],DESPESAS[Detalhamento],Auxiliar!$AB$2,DESPESAS[Mês],Auxiliar!S13,DESPESAS[Ano],Real!$F$4)))</f>
        <v>7200</v>
      </c>
      <c r="AD13" t="str">
        <f t="shared" si="0"/>
        <v/>
      </c>
      <c r="AJ13" s="113" t="s">
        <v>179</v>
      </c>
    </row>
    <row r="14" spans="2:41" x14ac:dyDescent="0.25">
      <c r="B14" s="11">
        <f t="shared" si="5"/>
        <v>45566</v>
      </c>
      <c r="C14" s="12">
        <f ca="1">IF(B14="","",SUMIFS(RECEITAS[Valor R$],RECEITAS[Origem],$AB$2,RECEITAS[Data],"&gt;=" &amp; B14,RECEITAS[Data], "&lt;=" &amp; EOMONTH(B14,0))+SUMIFS(DESPESAS[Valor R$],DESPESAS[Detalhamento],$AB$2,DESPESAS[Data],"&gt;=" &amp; B14,DESPESAS[Data], "&lt;=" &amp; EOMONTH(B14,0))+SUMIFS(INVEST[Valor R$],INVEST[Investimento],$AB$2,INVEST[Data],"&gt;=" &amp; B14,INVEST[Data], "&lt;=" &amp; EOMONTH(B14,0)))</f>
        <v>7000</v>
      </c>
      <c r="F14" s="13" t="s">
        <v>120</v>
      </c>
      <c r="G14" s="13">
        <f>IF(Dashboard!$B$9="Todos",SUMIFS(DESPESAS[Valor R$],DESPESAS[Categoria],F14,DESPESAS[Ano],Dashboard!$B$8),SUMIFS(DESPESAS[Valor R$],DESPESAS[Categoria],F14,DESPESAS[Ano],Dashboard!$B$8,DESPESAS[Mês],Dashboard!$B$9))</f>
        <v>15287</v>
      </c>
      <c r="H14" s="27">
        <f>G14/SUM($G$13:$G$14)</f>
        <v>0.34572675667729608</v>
      </c>
      <c r="Q14" s="9">
        <v>1</v>
      </c>
      <c r="R14" s="9"/>
      <c r="S14" s="9"/>
      <c r="T14" s="7">
        <f ca="1">SUM(T2:T13)</f>
        <v>84400</v>
      </c>
      <c r="AD14" t="str">
        <f t="shared" si="0"/>
        <v/>
      </c>
    </row>
    <row r="15" spans="2:41" x14ac:dyDescent="0.25">
      <c r="B15" s="11">
        <f t="shared" si="5"/>
        <v>45597</v>
      </c>
      <c r="C15" s="12">
        <f ca="1">IF(B15="","",SUMIFS(RECEITAS[Valor R$],RECEITAS[Origem],$AB$2,RECEITAS[Data],"&gt;=" &amp; B15,RECEITAS[Data], "&lt;=" &amp; EOMONTH(B15,0))+SUMIFS(DESPESAS[Valor R$],DESPESAS[Detalhamento],$AB$2,DESPESAS[Data],"&gt;=" &amp; B15,DESPESAS[Data], "&lt;=" &amp; EOMONTH(B15,0))+SUMIFS(INVEST[Valor R$],INVEST[Investimento],$AB$2,INVEST[Data],"&gt;=" &amp; B15,INVEST[Data], "&lt;=" &amp; EOMONTH(B15,0)))</f>
        <v>7200</v>
      </c>
      <c r="Q15" s="9" t="str" cm="1">
        <f t="array" ref="Q15">INDEX(Q1:Q13,Q14)</f>
        <v>Todos</v>
      </c>
      <c r="R15" s="9"/>
      <c r="S15" s="9"/>
      <c r="T15" s="7"/>
    </row>
    <row r="16" spans="2:41" x14ac:dyDescent="0.25">
      <c r="B16" s="11">
        <f t="shared" si="5"/>
        <v>45627</v>
      </c>
      <c r="C16" s="12">
        <f ca="1">IF(B16="","",SUMIFS(RECEITAS[Valor R$],RECEITAS[Origem],$AB$2,RECEITAS[Data],"&gt;=" &amp; B16,RECEITAS[Data], "&lt;=" &amp; EOMONTH(B16,0))+SUMIFS(DESPESAS[Valor R$],DESPESAS[Detalhamento],$AB$2,DESPESAS[Data],"&gt;=" &amp; B16,DESPESAS[Data], "&lt;=" &amp; EOMONTH(B16,0))+SUMIFS(INVEST[Valor R$],INVEST[Investimento],$AB$2,INVEST[Data],"&gt;=" &amp; B16,INVEST[Data], "&lt;=" &amp; EOMONTH(B16,0)))</f>
        <v>7200</v>
      </c>
      <c r="T16" s="7"/>
    </row>
    <row r="17" spans="2:33" x14ac:dyDescent="0.25">
      <c r="B17" s="11">
        <f t="shared" si="5"/>
        <v>45658</v>
      </c>
      <c r="C17" s="12">
        <f ca="1">IF(B17="","",SUMIFS(RECEITAS[Valor R$],RECEITAS[Origem],$AB$2,RECEITAS[Data],"&gt;=" &amp; B17,RECEITAS[Data], "&lt;=" &amp; EOMONTH(B17,0))+SUMIFS(DESPESAS[Valor R$],DESPESAS[Detalhamento],$AB$2,DESPESAS[Data],"&gt;=" &amp; B17,DESPESAS[Data], "&lt;=" &amp; EOMONTH(B17,0))+SUMIFS(INVEST[Valor R$],INVEST[Investimento],$AB$2,INVEST[Data],"&gt;=" &amp; B17,INVEST[Data], "&lt;=" &amp; EOMONTH(B17,0)))</f>
        <v>9000</v>
      </c>
      <c r="F17" s="106">
        <f>G2/G1</f>
        <v>0.44056194888656403</v>
      </c>
      <c r="AG17" s="111"/>
    </row>
    <row r="18" spans="2:33" x14ac:dyDescent="0.25">
      <c r="B18" s="11">
        <f t="shared" si="5"/>
        <v>45689</v>
      </c>
      <c r="C18" s="12">
        <f ca="1">IF(B18="","",SUMIFS(RECEITAS[Valor R$],RECEITAS[Origem],$AB$2,RECEITAS[Data],"&gt;=" &amp; B18,RECEITAS[Data], "&lt;=" &amp; EOMONTH(B18,0))+SUMIFS(DESPESAS[Valor R$],DESPESAS[Detalhamento],$AB$2,DESPESAS[Data],"&gt;=" &amp; B18,DESPESAS[Data], "&lt;=" &amp; EOMONTH(B18,0))+SUMIFS(INVEST[Valor R$],INVEST[Investimento],$AB$2,INVEST[Data],"&gt;=" &amp; B18,INVEST[Data], "&lt;=" &amp; EOMONTH(B18,0)))</f>
        <v>9000</v>
      </c>
      <c r="F18" s="13" t="s">
        <v>168</v>
      </c>
      <c r="G18" s="13" t="s">
        <v>166</v>
      </c>
      <c r="I18" t="s">
        <v>42</v>
      </c>
    </row>
    <row r="19" spans="2:33" x14ac:dyDescent="0.25">
      <c r="B19" s="11">
        <f t="shared" si="5"/>
        <v>45717</v>
      </c>
      <c r="C19" s="12">
        <f ca="1">IF(B19="","",SUMIFS(RECEITAS[Valor R$],RECEITAS[Origem],$AB$2,RECEITAS[Data],"&gt;=" &amp; B19,RECEITAS[Data], "&lt;=" &amp; EOMONTH(B19,0))+SUMIFS(DESPESAS[Valor R$],DESPESAS[Detalhamento],$AB$2,DESPESAS[Data],"&gt;=" &amp; B19,DESPESAS[Data], "&lt;=" &amp; EOMONTH(B19,0))+SUMIFS(INVEST[Valor R$],INVEST[Investimento],$AB$2,INVEST[Data],"&gt;=" &amp; B19,INVEST[Data], "&lt;=" &amp; EOMONTH(B19,0)))</f>
        <v>9000</v>
      </c>
      <c r="F19" s="106">
        <f>G2/G1</f>
        <v>0.44056194888656403</v>
      </c>
      <c r="G19" s="106">
        <f>I19-F19</f>
        <v>0.55943805111343603</v>
      </c>
      <c r="I19" s="26">
        <v>1</v>
      </c>
    </row>
    <row r="20" spans="2:33" x14ac:dyDescent="0.25">
      <c r="B20" s="11">
        <f t="shared" si="5"/>
        <v>45748</v>
      </c>
      <c r="C20" s="12">
        <f ca="1">IF(B20="","",SUMIFS(RECEITAS[Valor R$],RECEITAS[Origem],$AB$2,RECEITAS[Data],"&gt;=" &amp; B20,RECEITAS[Data], "&lt;=" &amp; EOMONTH(B20,0))+SUMIFS(DESPESAS[Valor R$],DESPESAS[Detalhamento],$AB$2,DESPESAS[Data],"&gt;=" &amp; B20,DESPESAS[Data], "&lt;=" &amp; EOMONTH(B20,0))+SUMIFS(INVEST[Valor R$],INVEST[Investimento],$AB$2,INVEST[Data],"&gt;=" &amp; B20,INVEST[Data], "&lt;=" &amp; EOMONTH(B20,0)))</f>
        <v>9000</v>
      </c>
      <c r="F20" s="13" t="s">
        <v>168</v>
      </c>
      <c r="G20" s="13" t="s">
        <v>167</v>
      </c>
      <c r="H20" t="s">
        <v>166</v>
      </c>
      <c r="I20" t="s">
        <v>42</v>
      </c>
    </row>
    <row r="21" spans="2:33" x14ac:dyDescent="0.25">
      <c r="B21" s="11">
        <f t="shared" si="5"/>
        <v>45778</v>
      </c>
      <c r="C21" s="12">
        <f ca="1">IF(B21="","",SUMIFS(RECEITAS[Valor R$],RECEITAS[Origem],$AB$2,RECEITAS[Data],"&gt;=" &amp; B21,RECEITAS[Data], "&lt;=" &amp; EOMONTH(B21,0))+SUMIFS(DESPESAS[Valor R$],DESPESAS[Detalhamento],$AB$2,DESPESAS[Data],"&gt;=" &amp; B21,DESPESAS[Data], "&lt;=" &amp; EOMONTH(B21,0))+SUMIFS(INVEST[Valor R$],INVEST[Investimento],$AB$2,INVEST[Data],"&gt;=" &amp; B21,INVEST[Data], "&lt;=" &amp; EOMONTH(B21,0)))</f>
        <v>9000</v>
      </c>
      <c r="F21" s="106">
        <f>F19</f>
        <v>0.44056194888656403</v>
      </c>
      <c r="G21" s="105">
        <v>0.02</v>
      </c>
      <c r="H21" s="107">
        <f>G19-G21</f>
        <v>0.53943805111343601</v>
      </c>
      <c r="I21" s="26">
        <v>1</v>
      </c>
    </row>
    <row r="22" spans="2:33" x14ac:dyDescent="0.25">
      <c r="B22" s="11">
        <f t="shared" si="5"/>
        <v>45809</v>
      </c>
      <c r="C22" s="12">
        <f ca="1">IF(B22="","",SUMIFS(RECEITAS[Valor R$],RECEITAS[Origem],$AB$2,RECEITAS[Data],"&gt;=" &amp; B22,RECEITAS[Data], "&lt;=" &amp; EOMONTH(B22,0))+SUMIFS(DESPESAS[Valor R$],DESPESAS[Detalhamento],$AB$2,DESPESAS[Data],"&gt;=" &amp; B22,DESPESAS[Data], "&lt;=" &amp; EOMONTH(B22,0))+SUMIFS(INVEST[Valor R$],INVEST[Investimento],$AB$2,INVEST[Data],"&gt;=" &amp; B22,INVEST[Data], "&lt;=" &amp; EOMONTH(B22,0)))</f>
        <v>9000</v>
      </c>
      <c r="F22" s="106" t="s">
        <v>165</v>
      </c>
    </row>
    <row r="23" spans="2:33" x14ac:dyDescent="0.25">
      <c r="B23" s="11">
        <f t="shared" si="5"/>
        <v>45839</v>
      </c>
      <c r="C23" s="12">
        <f ca="1">IF(B23="","",SUMIFS(RECEITAS[Valor R$],RECEITAS[Origem],$AB$2,RECEITAS[Data],"&gt;=" &amp; B23,RECEITAS[Data], "&lt;=" &amp; EOMONTH(B23,0))+SUMIFS(DESPESAS[Valor R$],DESPESAS[Detalhamento],$AB$2,DESPESAS[Data],"&gt;=" &amp; B23,DESPESAS[Data], "&lt;=" &amp; EOMONTH(B23,0))+SUMIFS(INVEST[Valor R$],INVEST[Investimento],$AB$2,INVEST[Data],"&gt;=" &amp; B23,INVEST[Data], "&lt;=" &amp; EOMONTH(B23,0)))</f>
        <v>9000</v>
      </c>
      <c r="F23" s="108">
        <f>F21/I21</f>
        <v>0.44056194888656403</v>
      </c>
    </row>
    <row r="24" spans="2:33" x14ac:dyDescent="0.25">
      <c r="B24" s="11">
        <f t="shared" si="5"/>
        <v>45870</v>
      </c>
      <c r="C24" s="12">
        <f ca="1">IF(B24="","",SUMIFS(RECEITAS[Valor R$],RECEITAS[Origem],$AB$2,RECEITAS[Data],"&gt;=" &amp; B24,RECEITAS[Data], "&lt;=" &amp; EOMONTH(B24,0))+SUMIFS(DESPESAS[Valor R$],DESPESAS[Detalhamento],$AB$2,DESPESAS[Data],"&gt;=" &amp; B24,DESPESAS[Data], "&lt;=" &amp; EOMONTH(B24,0))+SUMIFS(INVEST[Valor R$],INVEST[Investimento],$AB$2,INVEST[Data],"&gt;=" &amp; B24,INVEST[Data], "&lt;=" &amp; EOMONTH(B24,0)))</f>
        <v>9000</v>
      </c>
      <c r="I24" s="106"/>
      <c r="J24" s="17"/>
    </row>
    <row r="25" spans="2:33" x14ac:dyDescent="0.25">
      <c r="B25" s="11">
        <f t="shared" si="5"/>
        <v>45901</v>
      </c>
      <c r="C25" s="12">
        <f ca="1">IF(B25="","",SUMIFS(RECEITAS[Valor R$],RECEITAS[Origem],$AB$2,RECEITAS[Data],"&gt;=" &amp; B25,RECEITAS[Data], "&lt;=" &amp; EOMONTH(B25,0))+SUMIFS(DESPESAS[Valor R$],DESPESAS[Detalhamento],$AB$2,DESPESAS[Data],"&gt;=" &amp; B25,DESPESAS[Data], "&lt;=" &amp; EOMONTH(B25,0))+SUMIFS(INVEST[Valor R$],INVEST[Investimento],$AB$2,INVEST[Data],"&gt;=" &amp; B25,INVEST[Data], "&lt;=" &amp; EOMONTH(B25,0)))</f>
        <v>9000</v>
      </c>
    </row>
    <row r="26" spans="2:33" x14ac:dyDescent="0.25">
      <c r="B26" s="11">
        <f t="shared" si="5"/>
        <v>45931</v>
      </c>
      <c r="C26" s="12">
        <f ca="1">IF(B26="","",SUMIFS(RECEITAS[Valor R$],RECEITAS[Origem],$AB$2,RECEITAS[Data],"&gt;=" &amp; B26,RECEITAS[Data], "&lt;=" &amp; EOMONTH(B26,0))+SUMIFS(DESPESAS[Valor R$],DESPESAS[Detalhamento],$AB$2,DESPESAS[Data],"&gt;=" &amp; B26,DESPESAS[Data], "&lt;=" &amp; EOMONTH(B26,0))+SUMIFS(INVEST[Valor R$],INVEST[Investimento],$AB$2,INVEST[Data],"&gt;=" &amp; B26,INVEST[Data], "&lt;=" &amp; EOMONTH(B26,0)))</f>
        <v>9000</v>
      </c>
    </row>
    <row r="27" spans="2:33" x14ac:dyDescent="0.25">
      <c r="B27" s="11">
        <f t="shared" si="5"/>
        <v>45962</v>
      </c>
      <c r="C27" s="12">
        <f ca="1">IF(B27="","",SUMIFS(RECEITAS[Valor R$],RECEITAS[Origem],$AB$2,RECEITAS[Data],"&gt;=" &amp; B27,RECEITAS[Data], "&lt;=" &amp; EOMONTH(B27,0))+SUMIFS(DESPESAS[Valor R$],DESPESAS[Detalhamento],$AB$2,DESPESAS[Data],"&gt;=" &amp; B27,DESPESAS[Data], "&lt;=" &amp; EOMONTH(B27,0))+SUMIFS(INVEST[Valor R$],INVEST[Investimento],$AB$2,INVEST[Data],"&gt;=" &amp; B27,INVEST[Data], "&lt;=" &amp; EOMONTH(B27,0)))</f>
        <v>9000</v>
      </c>
    </row>
    <row r="28" spans="2:33" x14ac:dyDescent="0.25">
      <c r="B28" s="11">
        <f t="shared" si="5"/>
        <v>45992</v>
      </c>
      <c r="C28" s="12">
        <f ca="1">IF(B28="","",SUMIFS(RECEITAS[Valor R$],RECEITAS[Origem],$AB$2,RECEITAS[Data],"&gt;=" &amp; B28,RECEITAS[Data], "&lt;=" &amp; EOMONTH(B28,0))+SUMIFS(DESPESAS[Valor R$],DESPESAS[Detalhamento],$AB$2,DESPESAS[Data],"&gt;=" &amp; B28,DESPESAS[Data], "&lt;=" &amp; EOMONTH(B28,0))+SUMIFS(INVEST[Valor R$],INVEST[Investimento],$AB$2,INVEST[Data],"&gt;=" &amp; B28,INVEST[Data], "&lt;=" &amp; EOMONTH(B28,0)))</f>
        <v>9000</v>
      </c>
    </row>
    <row r="29" spans="2:33" x14ac:dyDescent="0.25">
      <c r="B29" s="11" t="str">
        <f t="shared" si="5"/>
        <v/>
      </c>
      <c r="C29" s="12" t="str">
        <f>IF(B29="","",SUMIFS(RECEITAS[Valor R$],RECEITAS[Origem],$AB$2,RECEITAS[Data],"&gt;=" &amp; B29,RECEITAS[Data], "&lt;=" &amp; EOMONTH(B29,0))+SUMIFS(DESPESAS[Valor R$],DESPESAS[Detalhamento],$AB$2,DESPESAS[Data],"&gt;=" &amp; B29,DESPESAS[Data], "&lt;=" &amp; EOMONTH(B29,0))+SUMIFS(INVEST[Valor R$],INVEST[Investimento],$AB$2,INVEST[Data],"&gt;=" &amp; B29,INVEST[Data], "&lt;=" &amp; EOMONTH(B29,0)))</f>
        <v/>
      </c>
      <c r="G29" s="14"/>
      <c r="L29" s="14"/>
    </row>
    <row r="30" spans="2:33" x14ac:dyDescent="0.25">
      <c r="B30" s="11" t="str">
        <f t="shared" si="5"/>
        <v/>
      </c>
      <c r="C30" s="12" t="str">
        <f>IF(B30="","",SUMIFS(RECEITAS[Valor R$],RECEITAS[Origem],$AB$2,RECEITAS[Data],"&gt;=" &amp; B30,RECEITAS[Data], "&lt;=" &amp; EOMONTH(B30,0))+SUMIFS(DESPESAS[Valor R$],DESPESAS[Detalhamento],$AB$2,DESPESAS[Data],"&gt;=" &amp; B30,DESPESAS[Data], "&lt;=" &amp; EOMONTH(B30,0))+SUMIFS(INVEST[Valor R$],INVEST[Investimento],$AB$2,INVEST[Data],"&gt;=" &amp; B30,INVEST[Data], "&lt;=" &amp; EOMONTH(B30,0)))</f>
        <v/>
      </c>
      <c r="G30" s="14"/>
      <c r="L30" s="14"/>
    </row>
    <row r="31" spans="2:33" x14ac:dyDescent="0.25">
      <c r="B31" s="11" t="str">
        <f t="shared" si="5"/>
        <v/>
      </c>
      <c r="C31" s="12" t="str">
        <f>IF(B31="","",SUMIFS(RECEITAS[Valor R$],RECEITAS[Origem],$AB$2,RECEITAS[Data],"&gt;=" &amp; B31,RECEITAS[Data], "&lt;=" &amp; EOMONTH(B31,0))+SUMIFS(DESPESAS[Valor R$],DESPESAS[Detalhamento],$AB$2,DESPESAS[Data],"&gt;=" &amp; B31,DESPESAS[Data], "&lt;=" &amp; EOMONTH(B31,0))+SUMIFS(INVEST[Valor R$],INVEST[Investimento],$AB$2,INVEST[Data],"&gt;=" &amp; B31,INVEST[Data], "&lt;=" &amp; EOMONTH(B31,0)))</f>
        <v/>
      </c>
      <c r="G31" s="14"/>
      <c r="L31" s="14"/>
    </row>
    <row r="32" spans="2:33" x14ac:dyDescent="0.25">
      <c r="B32" s="11" t="str">
        <f t="shared" si="5"/>
        <v/>
      </c>
      <c r="C32" s="12" t="str">
        <f>IF(B32="","",SUMIFS(RECEITAS[Valor R$],RECEITAS[Origem],$AB$2,RECEITAS[Data],"&gt;=" &amp; B32,RECEITAS[Data], "&lt;=" &amp; EOMONTH(B32,0))+SUMIFS(DESPESAS[Valor R$],DESPESAS[Detalhamento],$AB$2,DESPESAS[Data],"&gt;=" &amp; B32,DESPESAS[Data], "&lt;=" &amp; EOMONTH(B32,0))+SUMIFS(INVEST[Valor R$],INVEST[Investimento],$AB$2,INVEST[Data],"&gt;=" &amp; B32,INVEST[Data], "&lt;=" &amp; EOMONTH(B32,0)))</f>
        <v/>
      </c>
      <c r="G32" s="14"/>
      <c r="L32" s="14"/>
    </row>
    <row r="33" spans="2:15" x14ac:dyDescent="0.25">
      <c r="B33" s="11" t="str">
        <f t="shared" si="5"/>
        <v/>
      </c>
      <c r="C33" s="12" t="str">
        <f>IF(B33="","",SUMIFS(RECEITAS[Valor R$],RECEITAS[Origem],$AB$2,RECEITAS[Data],"&gt;=" &amp; B33,RECEITAS[Data], "&lt;=" &amp; EOMONTH(B33,0))+SUMIFS(DESPESAS[Valor R$],DESPESAS[Detalhamento],$AB$2,DESPESAS[Data],"&gt;=" &amp; B33,DESPESAS[Data], "&lt;=" &amp; EOMONTH(B33,0))+SUMIFS(INVEST[Valor R$],INVEST[Investimento],$AB$2,INVEST[Data],"&gt;=" &amp; B33,INVEST[Data], "&lt;=" &amp; EOMONTH(B33,0)))</f>
        <v/>
      </c>
      <c r="L33" s="14"/>
    </row>
    <row r="34" spans="2:15" x14ac:dyDescent="0.25">
      <c r="B34" s="11" t="str">
        <f t="shared" si="5"/>
        <v/>
      </c>
      <c r="C34" s="12" t="str">
        <f>IF(B34="","",SUMIFS(RECEITAS[Valor R$],RECEITAS[Origem],$AB$2,RECEITAS[Data],"&gt;=" &amp; B34,RECEITAS[Data], "&lt;=" &amp; EOMONTH(B34,0))+SUMIFS(DESPESAS[Valor R$],DESPESAS[Detalhamento],$AB$2,DESPESAS[Data],"&gt;=" &amp; B34,DESPESAS[Data], "&lt;=" &amp; EOMONTH(B34,0))+SUMIFS(INVEST[Valor R$],INVEST[Investimento],$AB$2,INVEST[Data],"&gt;=" &amp; B34,INVEST[Data], "&lt;=" &amp; EOMONTH(B34,0)))</f>
        <v/>
      </c>
      <c r="L34" s="14"/>
    </row>
    <row r="35" spans="2:15" x14ac:dyDescent="0.25">
      <c r="B35" s="11" t="str">
        <f t="shared" si="5"/>
        <v/>
      </c>
      <c r="C35" s="12" t="str">
        <f>IF(B35="","",SUMIFS(RECEITAS[Valor R$],RECEITAS[Origem],$AB$2,RECEITAS[Data],"&gt;=" &amp; B35,RECEITAS[Data], "&lt;=" &amp; EOMONTH(B35,0))+SUMIFS(DESPESAS[Valor R$],DESPESAS[Detalhamento],$AB$2,DESPESAS[Data],"&gt;=" &amp; B35,DESPESAS[Data], "&lt;=" &amp; EOMONTH(B35,0))+SUMIFS(INVEST[Valor R$],INVEST[Investimento],$AB$2,INVEST[Data],"&gt;=" &amp; B35,INVEST[Data], "&lt;=" &amp; EOMONTH(B35,0)))</f>
        <v/>
      </c>
      <c r="G35" s="14"/>
      <c r="L35" s="14"/>
    </row>
    <row r="36" spans="2:15" x14ac:dyDescent="0.25">
      <c r="B36" s="11" t="str">
        <f t="shared" si="5"/>
        <v/>
      </c>
      <c r="C36" s="12" t="str">
        <f>IF(B36="","",SUMIFS(RECEITAS[Valor R$],RECEITAS[Origem],$AB$2,RECEITAS[Data],"&gt;=" &amp; B36,RECEITAS[Data], "&lt;=" &amp; EOMONTH(B36,0))+SUMIFS(DESPESAS[Valor R$],DESPESAS[Detalhamento],$AB$2,DESPESAS[Data],"&gt;=" &amp; B36,DESPESAS[Data], "&lt;=" &amp; EOMONTH(B36,0))+SUMIFS(INVEST[Valor R$],INVEST[Investimento],$AB$2,INVEST[Data],"&gt;=" &amp; B36,INVEST[Data], "&lt;=" &amp; EOMONTH(B36,0)))</f>
        <v/>
      </c>
      <c r="F36" s="13" t="str" cm="1">
        <f t="array" ref="F36:G39">_xlfn._xlws.SORT(F1:G4,2,-1)</f>
        <v>Total Renda</v>
      </c>
      <c r="G36" s="14">
        <v>100365</v>
      </c>
      <c r="K36" t="str" cm="1">
        <f t="array" ref="K36:L43">_xlfn._xlws.SORT(K1:L8,2,-1)</f>
        <v>Moradia</v>
      </c>
      <c r="L36" s="14">
        <v>26130</v>
      </c>
      <c r="N36" t="str" cm="1">
        <f t="array" ref="N36:O43">_xlfn._xlws.SORT(K1:L8,2,-1)</f>
        <v>Moradia</v>
      </c>
      <c r="O36">
        <v>26130</v>
      </c>
    </row>
    <row r="37" spans="2:15" x14ac:dyDescent="0.25">
      <c r="B37" s="11" t="str">
        <f t="shared" si="5"/>
        <v/>
      </c>
      <c r="C37" s="12" t="str">
        <f>IF(B37="","",SUMIFS(RECEITAS[Valor R$],RECEITAS[Origem],$AB$2,RECEITAS[Data],"&gt;=" &amp; B37,RECEITAS[Data], "&lt;=" &amp; EOMONTH(B37,0))+SUMIFS(DESPESAS[Valor R$],DESPESAS[Detalhamento],$AB$2,DESPESAS[Data],"&gt;=" &amp; B37,DESPESAS[Data], "&lt;=" &amp; EOMONTH(B37,0))+SUMIFS(INVEST[Valor R$],INVEST[Investimento],$AB$2,INVEST[Data],"&gt;=" &amp; B37,INVEST[Data], "&lt;=" &amp; EOMONTH(B37,0)))</f>
        <v/>
      </c>
      <c r="F37" s="13" t="str">
        <v>Total Despesa</v>
      </c>
      <c r="G37" s="14">
        <v>44217</v>
      </c>
      <c r="K37" t="str">
        <v>Alimentação</v>
      </c>
      <c r="L37" s="14">
        <v>5530</v>
      </c>
      <c r="N37" t="str">
        <v>Alimentação</v>
      </c>
      <c r="O37">
        <v>5530</v>
      </c>
    </row>
    <row r="38" spans="2:15" x14ac:dyDescent="0.25">
      <c r="B38" s="11" t="str">
        <f t="shared" ref="B38:B61" si="6">IFERROR(IF(EOMONTH(B37,0)+1&gt;$C$2,"",EOMONTH(B37,0)+1),"")</f>
        <v/>
      </c>
      <c r="C38" s="12" t="str">
        <f>IF(B38="","",SUMIFS(RECEITAS[Valor R$],RECEITAS[Origem],$AB$2,RECEITAS[Data],"&gt;=" &amp; B38,RECEITAS[Data], "&lt;=" &amp; EOMONTH(B38,0))+SUMIFS(DESPESAS[Valor R$],DESPESAS[Detalhamento],$AB$2,DESPESAS[Data],"&gt;=" &amp; B38,DESPESAS[Data], "&lt;=" &amp; EOMONTH(B38,0))+SUMIFS(INVEST[Valor R$],INVEST[Investimento],$AB$2,INVEST[Data],"&gt;=" &amp; B38,INVEST[Data], "&lt;=" &amp; EOMONTH(B38,0)))</f>
        <v/>
      </c>
      <c r="F38" s="13" t="str">
        <v>Saldo em Conta</v>
      </c>
      <c r="G38" s="14">
        <v>42783</v>
      </c>
      <c r="K38" t="str">
        <v>Saúde</v>
      </c>
      <c r="L38" s="14">
        <v>4300</v>
      </c>
      <c r="N38" t="str">
        <v>Saúde</v>
      </c>
      <c r="O38">
        <v>4300</v>
      </c>
    </row>
    <row r="39" spans="2:15" x14ac:dyDescent="0.25">
      <c r="B39" s="11" t="str">
        <f t="shared" si="6"/>
        <v/>
      </c>
      <c r="C39" s="12" t="str">
        <f>IF(B39="","",SUMIFS(RECEITAS[Valor R$],RECEITAS[Origem],$AB$2,RECEITAS[Data],"&gt;=" &amp; B39,RECEITAS[Data], "&lt;=" &amp; EOMONTH(B39,0))+SUMIFS(DESPESAS[Valor R$],DESPESAS[Detalhamento],$AB$2,DESPESAS[Data],"&gt;=" &amp; B39,DESPESAS[Data], "&lt;=" &amp; EOMONTH(B39,0))+SUMIFS(INVEST[Valor R$],INVEST[Investimento],$AB$2,INVEST[Data],"&gt;=" &amp; B39,INVEST[Data], "&lt;=" &amp; EOMONTH(B39,0)))</f>
        <v/>
      </c>
      <c r="F39" s="13" t="str">
        <v>Investimentos</v>
      </c>
      <c r="G39" s="14">
        <v>13365</v>
      </c>
      <c r="K39" t="str">
        <v>Pessoais</v>
      </c>
      <c r="L39" s="14">
        <v>2087</v>
      </c>
      <c r="N39" t="str">
        <v>Pessoais</v>
      </c>
      <c r="O39">
        <v>2087</v>
      </c>
    </row>
    <row r="40" spans="2:15" x14ac:dyDescent="0.25">
      <c r="B40" s="11" t="str">
        <f t="shared" si="6"/>
        <v/>
      </c>
      <c r="C40" s="12" t="str">
        <f>IF(B40="","",SUMIFS(RECEITAS[Valor R$],RECEITAS[Origem],$AB$2,RECEITAS[Data],"&gt;=" &amp; B40,RECEITAS[Data], "&lt;=" &amp; EOMONTH(B40,0))+SUMIFS(DESPESAS[Valor R$],DESPESAS[Detalhamento],$AB$2,DESPESAS[Data],"&gt;=" &amp; B40,DESPESAS[Data], "&lt;=" &amp; EOMONTH(B40,0))+SUMIFS(INVEST[Valor R$],INVEST[Investimento],$AB$2,INVEST[Data],"&gt;=" &amp; B40,INVEST[Data], "&lt;=" &amp; EOMONTH(B40,0)))</f>
        <v/>
      </c>
      <c r="K40" t="str">
        <v>Pet</v>
      </c>
      <c r="L40" s="14">
        <v>1960</v>
      </c>
      <c r="N40" t="str">
        <v>Pet</v>
      </c>
      <c r="O40">
        <v>1960</v>
      </c>
    </row>
    <row r="41" spans="2:15" x14ac:dyDescent="0.25">
      <c r="B41" s="11" t="str">
        <f t="shared" si="6"/>
        <v/>
      </c>
      <c r="C41" s="12" t="str">
        <f>IF(B41="","",SUMIFS(RECEITAS[Valor R$],RECEITAS[Origem],$AB$2,RECEITAS[Data],"&gt;=" &amp; B41,RECEITAS[Data], "&lt;=" &amp; EOMONTH(B41,0))+SUMIFS(DESPESAS[Valor R$],DESPESAS[Detalhamento],$AB$2,DESPESAS[Data],"&gt;=" &amp; B41,DESPESAS[Data], "&lt;=" &amp; EOMONTH(B41,0))+SUMIFS(INVEST[Valor R$],INVEST[Investimento],$AB$2,INVEST[Data],"&gt;=" &amp; B41,INVEST[Data], "&lt;=" &amp; EOMONTH(B41,0)))</f>
        <v/>
      </c>
      <c r="K41" t="str">
        <v>Educação</v>
      </c>
      <c r="L41" s="14">
        <v>1345</v>
      </c>
      <c r="N41" t="str">
        <v>Educação</v>
      </c>
      <c r="O41">
        <v>1345</v>
      </c>
    </row>
    <row r="42" spans="2:15" x14ac:dyDescent="0.25">
      <c r="B42" s="11" t="str">
        <f t="shared" si="6"/>
        <v/>
      </c>
      <c r="C42" s="12" t="str">
        <f>IF(B42="","",SUMIFS(RECEITAS[Valor R$],RECEITAS[Origem],$AB$2,RECEITAS[Data],"&gt;=" &amp; B42,RECEITAS[Data], "&lt;=" &amp; EOMONTH(B42,0))+SUMIFS(DESPESAS[Valor R$],DESPESAS[Detalhamento],$AB$2,DESPESAS[Data],"&gt;=" &amp; B42,DESPESAS[Data], "&lt;=" &amp; EOMONTH(B42,0))+SUMIFS(INVEST[Valor R$],INVEST[Investimento],$AB$2,INVEST[Data],"&gt;=" &amp; B42,INVEST[Data], "&lt;=" &amp; EOMONTH(B42,0)))</f>
        <v/>
      </c>
      <c r="K42" t="str">
        <v>Transporte</v>
      </c>
      <c r="L42" s="14">
        <v>1270</v>
      </c>
      <c r="N42" t="str">
        <v>Transporte</v>
      </c>
      <c r="O42">
        <v>1270</v>
      </c>
    </row>
    <row r="43" spans="2:15" x14ac:dyDescent="0.25">
      <c r="B43" s="11" t="str">
        <f t="shared" si="6"/>
        <v/>
      </c>
      <c r="C43" s="12" t="str">
        <f>IF(B43="","",SUMIFS(RECEITAS[Valor R$],RECEITAS[Origem],$AB$2,RECEITAS[Data],"&gt;=" &amp; B43,RECEITAS[Data], "&lt;=" &amp; EOMONTH(B43,0))+SUMIFS(DESPESAS[Valor R$],DESPESAS[Detalhamento],$AB$2,DESPESAS[Data],"&gt;=" &amp; B43,DESPESAS[Data], "&lt;=" &amp; EOMONTH(B43,0))+SUMIFS(INVEST[Valor R$],INVEST[Investimento],$AB$2,INVEST[Data],"&gt;=" &amp; B43,INVEST[Data], "&lt;=" &amp; EOMONTH(B43,0)))</f>
        <v/>
      </c>
      <c r="K43" t="str">
        <v>Lazer</v>
      </c>
      <c r="L43" s="14">
        <v>1115</v>
      </c>
      <c r="N43" t="str">
        <v>Lazer</v>
      </c>
      <c r="O43">
        <v>1115</v>
      </c>
    </row>
    <row r="44" spans="2:15" x14ac:dyDescent="0.25">
      <c r="B44" s="11" t="str">
        <f t="shared" si="6"/>
        <v/>
      </c>
      <c r="C44" s="12" t="str">
        <f>IF(B44="","",SUMIFS(RECEITAS[Valor R$],RECEITAS[Origem],$AB$2,RECEITAS[Data],"&gt;=" &amp; B44,RECEITAS[Data], "&lt;=" &amp; EOMONTH(B44,0))+SUMIFS(DESPESAS[Valor R$],DESPESAS[Detalhamento],$AB$2,DESPESAS[Data],"&gt;=" &amp; B44,DESPESAS[Data], "&lt;=" &amp; EOMONTH(B44,0))+SUMIFS(INVEST[Valor R$],INVEST[Investimento],$AB$2,INVEST[Data],"&gt;=" &amp; B44,INVEST[Data], "&lt;=" &amp; EOMONTH(B44,0)))</f>
        <v/>
      </c>
    </row>
    <row r="45" spans="2:15" x14ac:dyDescent="0.25">
      <c r="B45" s="11" t="str">
        <f t="shared" si="6"/>
        <v/>
      </c>
      <c r="C45" s="12" t="str">
        <f>IF(B45="","",SUMIFS(RECEITAS[Valor R$],RECEITAS[Origem],$AB$2,RECEITAS[Data],"&gt;=" &amp; B45,RECEITAS[Data], "&lt;=" &amp; EOMONTH(B45,0))+SUMIFS(DESPESAS[Valor R$],DESPESAS[Detalhamento],$AB$2,DESPESAS[Data],"&gt;=" &amp; B45,DESPESAS[Data], "&lt;=" &amp; EOMONTH(B45,0))+SUMIFS(INVEST[Valor R$],INVEST[Investimento],$AB$2,INVEST[Data],"&gt;=" &amp; B45,INVEST[Data], "&lt;=" &amp; EOMONTH(B45,0)))</f>
        <v/>
      </c>
    </row>
    <row r="46" spans="2:15" x14ac:dyDescent="0.25">
      <c r="B46" s="11" t="str">
        <f t="shared" si="6"/>
        <v/>
      </c>
      <c r="C46" s="12" t="str">
        <f>IF(B46="","",SUMIFS(RECEITAS[Valor R$],RECEITAS[Origem],$AB$2,RECEITAS[Data],"&gt;=" &amp; B46,RECEITAS[Data], "&lt;=" &amp; EOMONTH(B46,0))+SUMIFS(DESPESAS[Valor R$],DESPESAS[Detalhamento],$AB$2,DESPESAS[Data],"&gt;=" &amp; B46,DESPESAS[Data], "&lt;=" &amp; EOMONTH(B46,0))+SUMIFS(INVEST[Valor R$],INVEST[Investimento],$AB$2,INVEST[Data],"&gt;=" &amp; B46,INVEST[Data], "&lt;=" &amp; EOMONTH(B46,0)))</f>
        <v/>
      </c>
    </row>
    <row r="47" spans="2:15" x14ac:dyDescent="0.25">
      <c r="B47" s="11" t="str">
        <f t="shared" si="6"/>
        <v/>
      </c>
      <c r="C47" s="12" t="str">
        <f>IF(B47="","",SUMIFS(RECEITAS[Valor R$],RECEITAS[Origem],$AB$2,RECEITAS[Data],"&gt;=" &amp; B47,RECEITAS[Data], "&lt;=" &amp; EOMONTH(B47,0))+SUMIFS(DESPESAS[Valor R$],DESPESAS[Detalhamento],$AB$2,DESPESAS[Data],"&gt;=" &amp; B47,DESPESAS[Data], "&lt;=" &amp; EOMONTH(B47,0))+SUMIFS(INVEST[Valor R$],INVEST[Investimento],$AB$2,INVEST[Data],"&gt;=" &amp; B47,INVEST[Data], "&lt;=" &amp; EOMONTH(B47,0)))</f>
        <v/>
      </c>
    </row>
    <row r="48" spans="2:15" x14ac:dyDescent="0.25">
      <c r="B48" s="11" t="str">
        <f t="shared" si="6"/>
        <v/>
      </c>
      <c r="C48" s="12" t="str">
        <f>IF(B48="","",SUMIFS(RECEITAS[Valor R$],RECEITAS[Origem],$AB$2,RECEITAS[Data],"&gt;=" &amp; B48,RECEITAS[Data], "&lt;=" &amp; EOMONTH(B48,0))+SUMIFS(DESPESAS[Valor R$],DESPESAS[Detalhamento],$AB$2,DESPESAS[Data],"&gt;=" &amp; B48,DESPESAS[Data], "&lt;=" &amp; EOMONTH(B48,0))+SUMIFS(INVEST[Valor R$],INVEST[Investimento],$AB$2,INVEST[Data],"&gt;=" &amp; B48,INVEST[Data], "&lt;=" &amp; EOMONTH(B48,0)))</f>
        <v/>
      </c>
    </row>
    <row r="49" spans="2:3" x14ac:dyDescent="0.25">
      <c r="B49" s="11" t="str">
        <f t="shared" si="6"/>
        <v/>
      </c>
      <c r="C49" s="12" t="str">
        <f>IF(B49="","",SUMIFS(RECEITAS[Valor R$],RECEITAS[Origem],$AB$2,RECEITAS[Data],"&gt;=" &amp; B49,RECEITAS[Data], "&lt;=" &amp; EOMONTH(B49,0))+SUMIFS(DESPESAS[Valor R$],DESPESAS[Detalhamento],$AB$2,DESPESAS[Data],"&gt;=" &amp; B49,DESPESAS[Data], "&lt;=" &amp; EOMONTH(B49,0))+SUMIFS(INVEST[Valor R$],INVEST[Investimento],$AB$2,INVEST[Data],"&gt;=" &amp; B49,INVEST[Data], "&lt;=" &amp; EOMONTH(B49,0)))</f>
        <v/>
      </c>
    </row>
    <row r="50" spans="2:3" x14ac:dyDescent="0.25">
      <c r="B50" s="11" t="str">
        <f t="shared" si="6"/>
        <v/>
      </c>
      <c r="C50" s="12" t="str">
        <f>IF(B50="","",SUMIFS(RECEITAS[Valor R$],RECEITAS[Origem],$AB$2,RECEITAS[Data],"&gt;=" &amp; B50,RECEITAS[Data], "&lt;=" &amp; EOMONTH(B50,0))+SUMIFS(DESPESAS[Valor R$],DESPESAS[Detalhamento],$AB$2,DESPESAS[Data],"&gt;=" &amp; B50,DESPESAS[Data], "&lt;=" &amp; EOMONTH(B50,0))+SUMIFS(INVEST[Valor R$],INVEST[Investimento],$AB$2,INVEST[Data],"&gt;=" &amp; B50,INVEST[Data], "&lt;=" &amp; EOMONTH(B50,0)))</f>
        <v/>
      </c>
    </row>
    <row r="51" spans="2:3" x14ac:dyDescent="0.25">
      <c r="B51" s="11" t="str">
        <f t="shared" si="6"/>
        <v/>
      </c>
      <c r="C51" s="12" t="str">
        <f>IF(B51="","",SUMIFS(RECEITAS[Valor R$],RECEITAS[Origem],$AB$2,RECEITAS[Data],"&gt;=" &amp; B51,RECEITAS[Data], "&lt;=" &amp; EOMONTH(B51,0))+SUMIFS(DESPESAS[Valor R$],DESPESAS[Detalhamento],$AB$2,DESPESAS[Data],"&gt;=" &amp; B51,DESPESAS[Data], "&lt;=" &amp; EOMONTH(B51,0))+SUMIFS(INVEST[Valor R$],INVEST[Investimento],$AB$2,INVEST[Data],"&gt;=" &amp; B51,INVEST[Data], "&lt;=" &amp; EOMONTH(B51,0)))</f>
        <v/>
      </c>
    </row>
    <row r="52" spans="2:3" x14ac:dyDescent="0.25">
      <c r="B52" s="11" t="str">
        <f t="shared" si="6"/>
        <v/>
      </c>
      <c r="C52" s="12" t="str">
        <f>IF(B52="","",SUMIFS(RECEITAS[Valor R$],RECEITAS[Origem],$AB$2,RECEITAS[Data],"&gt;=" &amp; B52,RECEITAS[Data], "&lt;=" &amp; EOMONTH(B52,0))+SUMIFS(DESPESAS[Valor R$],DESPESAS[Detalhamento],$AB$2,DESPESAS[Data],"&gt;=" &amp; B52,DESPESAS[Data], "&lt;=" &amp; EOMONTH(B52,0))+SUMIFS(INVEST[Valor R$],INVEST[Investimento],$AB$2,INVEST[Data],"&gt;=" &amp; B52,INVEST[Data], "&lt;=" &amp; EOMONTH(B52,0)))</f>
        <v/>
      </c>
    </row>
    <row r="53" spans="2:3" x14ac:dyDescent="0.25">
      <c r="B53" s="11" t="str">
        <f t="shared" si="6"/>
        <v/>
      </c>
      <c r="C53" s="12" t="str">
        <f>IF(B53="","",SUMIFS(RECEITAS[Valor R$],RECEITAS[Origem],$AB$2,RECEITAS[Data],"&gt;=" &amp; B53,RECEITAS[Data], "&lt;=" &amp; EOMONTH(B53,0))+SUMIFS(DESPESAS[Valor R$],DESPESAS[Detalhamento],$AB$2,DESPESAS[Data],"&gt;=" &amp; B53,DESPESAS[Data], "&lt;=" &amp; EOMONTH(B53,0))+SUMIFS(INVEST[Valor R$],INVEST[Investimento],$AB$2,INVEST[Data],"&gt;=" &amp; B53,INVEST[Data], "&lt;=" &amp; EOMONTH(B53,0)))</f>
        <v/>
      </c>
    </row>
    <row r="54" spans="2:3" x14ac:dyDescent="0.25">
      <c r="B54" s="11" t="str">
        <f t="shared" si="6"/>
        <v/>
      </c>
      <c r="C54" s="12" t="str">
        <f>IF(B54="","",SUMIFS(RECEITAS[Valor R$],RECEITAS[Origem],$AB$2,RECEITAS[Data],"&gt;=" &amp; B54,RECEITAS[Data], "&lt;=" &amp; EOMONTH(B54,0))+SUMIFS(DESPESAS[Valor R$],DESPESAS[Detalhamento],$AB$2,DESPESAS[Data],"&gt;=" &amp; B54,DESPESAS[Data], "&lt;=" &amp; EOMONTH(B54,0))+SUMIFS(INVEST[Valor R$],INVEST[Investimento],$AB$2,INVEST[Data],"&gt;=" &amp; B54,INVEST[Data], "&lt;=" &amp; EOMONTH(B54,0)))</f>
        <v/>
      </c>
    </row>
    <row r="55" spans="2:3" x14ac:dyDescent="0.25">
      <c r="B55" s="11" t="str">
        <f t="shared" si="6"/>
        <v/>
      </c>
      <c r="C55" s="12" t="str">
        <f>IF(B55="","",SUMIFS(RECEITAS[Valor R$],RECEITAS[Origem],$AB$2,RECEITAS[Data],"&gt;=" &amp; B55,RECEITAS[Data], "&lt;=" &amp; EOMONTH(B55,0))+SUMIFS(DESPESAS[Valor R$],DESPESAS[Detalhamento],$AB$2,DESPESAS[Data],"&gt;=" &amp; B55,DESPESAS[Data], "&lt;=" &amp; EOMONTH(B55,0))+SUMIFS(INVEST[Valor R$],INVEST[Investimento],$AB$2,INVEST[Data],"&gt;=" &amp; B55,INVEST[Data], "&lt;=" &amp; EOMONTH(B55,0)))</f>
        <v/>
      </c>
    </row>
    <row r="56" spans="2:3" x14ac:dyDescent="0.25">
      <c r="B56" s="11" t="str">
        <f t="shared" si="6"/>
        <v/>
      </c>
      <c r="C56" s="12" t="str">
        <f>IF(B56="","",SUMIFS(RECEITAS[Valor R$],RECEITAS[Origem],$AB$2,RECEITAS[Data],"&gt;=" &amp; B56,RECEITAS[Data], "&lt;=" &amp; EOMONTH(B56,0))+SUMIFS(DESPESAS[Valor R$],DESPESAS[Detalhamento],$AB$2,DESPESAS[Data],"&gt;=" &amp; B56,DESPESAS[Data], "&lt;=" &amp; EOMONTH(B56,0))+SUMIFS(INVEST[Valor R$],INVEST[Investimento],$AB$2,INVEST[Data],"&gt;=" &amp; B56,INVEST[Data], "&lt;=" &amp; EOMONTH(B56,0)))</f>
        <v/>
      </c>
    </row>
    <row r="57" spans="2:3" x14ac:dyDescent="0.25">
      <c r="B57" s="11" t="str">
        <f t="shared" si="6"/>
        <v/>
      </c>
      <c r="C57" s="12" t="str">
        <f>IF(B57="","",SUMIFS(RECEITAS[Valor R$],RECEITAS[Origem],$AB$2,RECEITAS[Data],"&gt;=" &amp; B57,RECEITAS[Data], "&lt;=" &amp; EOMONTH(B57,0))+SUMIFS(DESPESAS[Valor R$],DESPESAS[Detalhamento],$AB$2,DESPESAS[Data],"&gt;=" &amp; B57,DESPESAS[Data], "&lt;=" &amp; EOMONTH(B57,0))+SUMIFS(INVEST[Valor R$],INVEST[Investimento],$AB$2,INVEST[Data],"&gt;=" &amp; B57,INVEST[Data], "&lt;=" &amp; EOMONTH(B57,0)))</f>
        <v/>
      </c>
    </row>
    <row r="58" spans="2:3" x14ac:dyDescent="0.25">
      <c r="B58" s="11" t="str">
        <f t="shared" si="6"/>
        <v/>
      </c>
      <c r="C58" s="12" t="str">
        <f>IF(B58="","",SUMIFS(RECEITAS[Valor R$],RECEITAS[Origem],$AB$2,RECEITAS[Data],"&gt;=" &amp; B58,RECEITAS[Data], "&lt;=" &amp; EOMONTH(B58,0))+SUMIFS(DESPESAS[Valor R$],DESPESAS[Detalhamento],$AB$2,DESPESAS[Data],"&gt;=" &amp; B58,DESPESAS[Data], "&lt;=" &amp; EOMONTH(B58,0))+SUMIFS(INVEST[Valor R$],INVEST[Investimento],$AB$2,INVEST[Data],"&gt;=" &amp; B58,INVEST[Data], "&lt;=" &amp; EOMONTH(B58,0)))</f>
        <v/>
      </c>
    </row>
    <row r="59" spans="2:3" x14ac:dyDescent="0.25">
      <c r="B59" s="11" t="str">
        <f t="shared" si="6"/>
        <v/>
      </c>
      <c r="C59" s="12" t="str">
        <f>IF(B59="","",SUMIFS(RECEITAS[Valor R$],RECEITAS[Origem],$AB$2,RECEITAS[Data],"&gt;=" &amp; B59,RECEITAS[Data], "&lt;=" &amp; EOMONTH(B59,0))+SUMIFS(DESPESAS[Valor R$],DESPESAS[Detalhamento],$AB$2,DESPESAS[Data],"&gt;=" &amp; B59,DESPESAS[Data], "&lt;=" &amp; EOMONTH(B59,0))+SUMIFS(INVEST[Valor R$],INVEST[Investimento],$AB$2,INVEST[Data],"&gt;=" &amp; B59,INVEST[Data], "&lt;=" &amp; EOMONTH(B59,0)))</f>
        <v/>
      </c>
    </row>
    <row r="60" spans="2:3" x14ac:dyDescent="0.25">
      <c r="B60" s="11" t="str">
        <f t="shared" si="6"/>
        <v/>
      </c>
      <c r="C60" s="12" t="str">
        <f>IF(B60="","",SUMIFS(RECEITAS[Valor R$],RECEITAS[Origem],$AB$2,RECEITAS[Data],"&gt;=" &amp; B60,RECEITAS[Data], "&lt;=" &amp; EOMONTH(B60,0))+SUMIFS(DESPESAS[Valor R$],DESPESAS[Detalhamento],$AB$2,DESPESAS[Data],"&gt;=" &amp; B60,DESPESAS[Data], "&lt;=" &amp; EOMONTH(B60,0))+SUMIFS(INVEST[Valor R$],INVEST[Investimento],$AB$2,INVEST[Data],"&gt;=" &amp; B60,INVEST[Data], "&lt;=" &amp; EOMONTH(B60,0)))</f>
        <v/>
      </c>
    </row>
    <row r="61" spans="2:3" x14ac:dyDescent="0.25">
      <c r="B61" s="11" t="str">
        <f t="shared" si="6"/>
        <v/>
      </c>
      <c r="C61" s="12" t="str">
        <f>IF(B61="","",SUMIFS(RECEITAS[Valor R$],RECEITAS[Origem],$AB$2,RECEITAS[Data],"&gt;=" &amp; B61,RECEITAS[Data], "&lt;=" &amp; EOMONTH(B61,0))+SUMIFS(DESPESAS[Valor R$],DESPESAS[Detalhamento],$AB$2,DESPESAS[Data],"&gt;=" &amp; B61,DESPESAS[Data], "&lt;=" &amp; EOMONTH(B61,0))+SUMIFS(INVEST[Valor R$],INVEST[Investimento],$AB$2,INVEST[Data],"&gt;=" &amp; B61,INVEST[Data], "&lt;=" &amp; EOMONTH(B61,0)))</f>
        <v/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E63C9-8AB4-4C23-8F6B-5888BDEDFFB3}">
  <sheetPr codeName="Planilha3"/>
  <dimension ref="A1:HB50"/>
  <sheetViews>
    <sheetView showGridLines="0" topLeftCell="A42" zoomScale="90" zoomScaleNormal="90" workbookViewId="0">
      <selection activeCell="E1" sqref="E1"/>
    </sheetView>
  </sheetViews>
  <sheetFormatPr defaultRowHeight="15" x14ac:dyDescent="0.25"/>
  <cols>
    <col min="1" max="1" width="1" customWidth="1"/>
    <col min="2" max="2" width="36.5703125" bestFit="1" customWidth="1"/>
    <col min="3" max="9" width="11.42578125" customWidth="1"/>
    <col min="10" max="10" width="12" customWidth="1"/>
    <col min="11" max="11" width="12.42578125" customWidth="1"/>
    <col min="12" max="12" width="13.140625" customWidth="1"/>
    <col min="13" max="14" width="11.42578125" customWidth="1"/>
    <col min="15" max="15" width="17.5703125" bestFit="1" customWidth="1"/>
    <col min="16" max="16" width="1" customWidth="1"/>
    <col min="17" max="17" width="18" customWidth="1"/>
  </cols>
  <sheetData>
    <row r="1" spans="1:210" s="121" customFormat="1" ht="47.25" customHeight="1" x14ac:dyDescent="0.5">
      <c r="A1" s="28"/>
      <c r="B1" s="122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23"/>
      <c r="R1" s="122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</row>
    <row r="2" spans="1:210" s="121" customFormat="1" ht="15.6" customHeight="1" x14ac:dyDescent="0.5">
      <c r="A2" s="28"/>
      <c r="B2" s="122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</row>
    <row r="3" spans="1:210" s="121" customFormat="1" ht="22.9" customHeight="1" x14ac:dyDescent="0.5">
      <c r="A3" s="28"/>
      <c r="B3" s="122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</row>
    <row r="4" spans="1:210" s="121" customFormat="1" ht="21" customHeight="1" x14ac:dyDescent="0.35">
      <c r="A4" s="28"/>
      <c r="B4" s="28"/>
      <c r="C4" s="128" t="s">
        <v>162</v>
      </c>
      <c r="D4" s="129"/>
      <c r="E4" s="129"/>
      <c r="F4" s="130">
        <v>2024</v>
      </c>
      <c r="G4" s="28"/>
      <c r="H4" s="28"/>
      <c r="I4" s="28"/>
      <c r="J4" s="28"/>
      <c r="K4" s="28"/>
      <c r="L4" s="128" t="s">
        <v>163</v>
      </c>
      <c r="M4" s="131"/>
      <c r="N4" s="131"/>
      <c r="O4" s="132">
        <v>4500</v>
      </c>
      <c r="P4" s="126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</row>
    <row r="5" spans="1:210" s="121" customFormat="1" ht="10.9" customHeight="1" x14ac:dyDescent="0.35">
      <c r="A5" s="28"/>
      <c r="B5" s="28"/>
      <c r="C5" s="127"/>
      <c r="D5" s="28"/>
      <c r="E5" s="28"/>
      <c r="F5" s="124"/>
      <c r="G5" s="28"/>
      <c r="H5" s="28"/>
      <c r="I5" s="28"/>
      <c r="J5" s="28"/>
      <c r="K5" s="28"/>
      <c r="L5" s="127"/>
      <c r="M5" s="125"/>
      <c r="N5" s="125"/>
      <c r="O5" s="126"/>
      <c r="P5" s="126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</row>
    <row r="6" spans="1:210" ht="15.75" thickBot="1" x14ac:dyDescent="0.3">
      <c r="B6" s="45"/>
    </row>
    <row r="7" spans="1:210" ht="15.75" thickBot="1" x14ac:dyDescent="0.3">
      <c r="B7" s="46" t="s">
        <v>45</v>
      </c>
      <c r="C7" s="47" t="s">
        <v>30</v>
      </c>
      <c r="D7" s="47" t="s">
        <v>31</v>
      </c>
      <c r="E7" s="47" t="s">
        <v>32</v>
      </c>
      <c r="F7" s="47" t="s">
        <v>33</v>
      </c>
      <c r="G7" s="47" t="s">
        <v>34</v>
      </c>
      <c r="H7" s="47" t="s">
        <v>35</v>
      </c>
      <c r="I7" s="47" t="s">
        <v>36</v>
      </c>
      <c r="J7" s="48" t="s">
        <v>37</v>
      </c>
      <c r="K7" s="48" t="s">
        <v>38</v>
      </c>
      <c r="L7" s="48" t="s">
        <v>39</v>
      </c>
      <c r="M7" s="48" t="s">
        <v>40</v>
      </c>
      <c r="N7" s="48" t="s">
        <v>41</v>
      </c>
      <c r="O7" s="48" t="s">
        <v>42</v>
      </c>
      <c r="P7" s="95"/>
    </row>
    <row r="8" spans="1:210" ht="15.75" thickBot="1" x14ac:dyDescent="0.3">
      <c r="B8" s="57" t="s">
        <v>46</v>
      </c>
      <c r="C8" s="58">
        <f>SUMIFS(RECEITAS[Valor R$],RECEITAS[Mês],C$7,RECEITAS[Ano],$F$4)</f>
        <v>8400</v>
      </c>
      <c r="D8" s="58">
        <f>SUMIFS(RECEITAS[Valor R$],RECEITAS[Mês],D$7,RECEITAS[Ano],$F$4)</f>
        <v>7000</v>
      </c>
      <c r="E8" s="58">
        <f>SUMIFS(RECEITAS[Valor R$],RECEITAS[Mês],E$7,RECEITAS[Ano],$F$4)</f>
        <v>7000</v>
      </c>
      <c r="F8" s="58">
        <f>SUMIFS(RECEITAS[Valor R$],RECEITAS[Mês],F$7,RECEITAS[Ano],$F$4)</f>
        <v>10615</v>
      </c>
      <c r="G8" s="58">
        <f>SUMIFS(RECEITAS[Valor R$],RECEITAS[Mês],G$7,RECEITAS[Ano],$F$4)</f>
        <v>7000</v>
      </c>
      <c r="H8" s="58">
        <f>SUMIFS(RECEITAS[Valor R$],RECEITAS[Mês],H$7,RECEITAS[Ano],$F$4)</f>
        <v>8600</v>
      </c>
      <c r="I8" s="58">
        <f>SUMIFS(RECEITAS[Valor R$],RECEITAS[Mês],I$7,RECEITAS[Ano],$F$4)</f>
        <v>7000</v>
      </c>
      <c r="J8" s="58">
        <f>SUMIFS(RECEITAS[Valor R$],RECEITAS[Mês],J$7,RECEITAS[Ano],$F$4)</f>
        <v>8140</v>
      </c>
      <c r="K8" s="58">
        <f>SUMIFS(RECEITAS[Valor R$],RECEITAS[Mês],K$7,RECEITAS[Ano],$F$4)</f>
        <v>8320</v>
      </c>
      <c r="L8" s="58">
        <f>SUMIFS(RECEITAS[Valor R$],RECEITAS[Mês],L$7,RECEITAS[Ano],$F$4)</f>
        <v>8210</v>
      </c>
      <c r="M8" s="58">
        <f>SUMIFS(RECEITAS[Valor R$],RECEITAS[Mês],M$7,RECEITAS[Ano],$F$4)</f>
        <v>8380</v>
      </c>
      <c r="N8" s="58">
        <f>SUMIFS(RECEITAS[Valor R$],RECEITAS[Mês],N$7,RECEITAS[Ano],$F$4)</f>
        <v>11700</v>
      </c>
      <c r="O8" s="61">
        <f>SUM(C8:N8)</f>
        <v>100365</v>
      </c>
      <c r="P8" s="95"/>
    </row>
    <row r="9" spans="1:210" ht="15.75" thickBot="1" x14ac:dyDescent="0.3">
      <c r="B9" s="57" t="s">
        <v>78</v>
      </c>
      <c r="C9" s="58">
        <f>SUMIFS(INVEST[Valor R$],INVEST[Mês],C$7,INVEST[Ano],$F$4)</f>
        <v>330</v>
      </c>
      <c r="D9" s="58">
        <f>SUMIFS(INVEST[Valor R$],INVEST[Mês],D$7,INVEST[Ano],$F$4)</f>
        <v>240</v>
      </c>
      <c r="E9" s="58">
        <f>SUMIFS(INVEST[Valor R$],INVEST[Mês],E$7,INVEST[Ano],$F$4)</f>
        <v>680</v>
      </c>
      <c r="F9" s="58">
        <f>SUMIFS(INVEST[Valor R$],INVEST[Mês],F$7,INVEST[Ano],$F$4)</f>
        <v>330</v>
      </c>
      <c r="G9" s="58">
        <f>SUMIFS(INVEST[Valor R$],INVEST[Mês],G$7,INVEST[Ano],$F$4)</f>
        <v>330</v>
      </c>
      <c r="H9" s="58">
        <f>SUMIFS(INVEST[Valor R$],INVEST[Mês],H$7,INVEST[Ano],$F$4)</f>
        <v>870</v>
      </c>
      <c r="I9" s="58">
        <f>SUMIFS(INVEST[Valor R$],INVEST[Mês],I$7,INVEST[Ano],$F$4)</f>
        <v>1135</v>
      </c>
      <c r="J9" s="59">
        <f>SUMIFS(INVEST[Valor R$],INVEST[Mês],J$7,INVEST[Ano],$F$4)</f>
        <v>500</v>
      </c>
      <c r="K9" s="58">
        <f>SUMIFS(INVEST[Valor R$],INVEST[Mês],K$7,INVEST[Ano],$F$4)</f>
        <v>4000</v>
      </c>
      <c r="L9" s="58">
        <f>SUMIFS(INVEST[Valor R$],INVEST[Mês],L$7,INVEST[Ano],$F$4)</f>
        <v>3800</v>
      </c>
      <c r="M9" s="58">
        <f>SUMIFS(INVEST[Valor R$],INVEST[Mês],M$7,INVEST[Ano],$F$4)</f>
        <v>450</v>
      </c>
      <c r="N9" s="60">
        <f>SUMIFS(INVEST[Valor R$],INVEST[Mês],N$7,INVEST[Ano],$F$4)</f>
        <v>700</v>
      </c>
      <c r="O9" s="61">
        <f>SUM(C9:N9)</f>
        <v>13365</v>
      </c>
      <c r="P9" s="95"/>
    </row>
    <row r="10" spans="1:210" ht="15.75" thickBot="1" x14ac:dyDescent="0.3">
      <c r="B10" s="40" t="s">
        <v>83</v>
      </c>
      <c r="C10" s="41">
        <f t="shared" ref="C10:N10" si="0">SUM(C11:C19)</f>
        <v>3370</v>
      </c>
      <c r="D10" s="41">
        <f t="shared" si="0"/>
        <v>4490</v>
      </c>
      <c r="E10" s="41">
        <f t="shared" si="0"/>
        <v>2850</v>
      </c>
      <c r="F10" s="41">
        <f t="shared" si="0"/>
        <v>2295</v>
      </c>
      <c r="G10" s="41">
        <f t="shared" si="0"/>
        <v>3947</v>
      </c>
      <c r="H10" s="41">
        <f t="shared" si="0"/>
        <v>2315</v>
      </c>
      <c r="I10" s="41">
        <f t="shared" si="0"/>
        <v>2590</v>
      </c>
      <c r="J10" s="42">
        <f t="shared" si="0"/>
        <v>4380</v>
      </c>
      <c r="K10" s="41">
        <f t="shared" si="0"/>
        <v>5830</v>
      </c>
      <c r="L10" s="41">
        <f t="shared" si="0"/>
        <v>4340</v>
      </c>
      <c r="M10" s="41">
        <f t="shared" si="0"/>
        <v>4120</v>
      </c>
      <c r="N10" s="43">
        <f t="shared" si="0"/>
        <v>3690</v>
      </c>
      <c r="O10" s="44">
        <f>SUM(C10:N10)</f>
        <v>44217</v>
      </c>
      <c r="P10" s="96"/>
    </row>
    <row r="11" spans="1:210" x14ac:dyDescent="0.25">
      <c r="B11" s="49" t="s">
        <v>4</v>
      </c>
      <c r="C11" s="37">
        <f>SUMIFS(DESPESAS[Valor R$],DESPESAS[Mês],C$7,DESPESAS[Ano],$F$4,DESPESAS[Tipo de Gasto],$B11)</f>
        <v>0</v>
      </c>
      <c r="D11" s="37">
        <f>SUMIFS(DESPESAS[Valor R$],DESPESAS[Mês],D$7,DESPESAS[Ano],$F$4,DESPESAS[Tipo de Gasto],$B11)</f>
        <v>0</v>
      </c>
      <c r="E11" s="37">
        <f>SUMIFS(DESPESAS[Valor R$],DESPESAS[Mês],E$7,DESPESAS[Ano],$F$4,DESPESAS[Tipo de Gasto],$B11)</f>
        <v>0</v>
      </c>
      <c r="F11" s="37">
        <f>SUMIFS(DESPESAS[Valor R$],DESPESAS[Mês],F$7,DESPESAS[Ano],$F$4,DESPESAS[Tipo de Gasto],$B11)</f>
        <v>0</v>
      </c>
      <c r="G11" s="37">
        <f>SUMIFS(DESPESAS[Valor R$],DESPESAS[Mês],G$7,DESPESAS[Ano],$F$4,DESPESAS[Tipo de Gasto],$B11)</f>
        <v>0</v>
      </c>
      <c r="H11" s="37">
        <f>SUMIFS(DESPESAS[Valor R$],DESPESAS[Mês],H$7,DESPESAS[Ano],$F$4,DESPESAS[Tipo de Gasto],$B11)</f>
        <v>0</v>
      </c>
      <c r="I11" s="37">
        <f>SUMIFS(DESPESAS[Valor R$],DESPESAS[Mês],I$7,DESPESAS[Ano],$F$4,DESPESAS[Tipo de Gasto],$B11)</f>
        <v>0</v>
      </c>
      <c r="J11" s="38">
        <f>SUMIFS(DESPESAS[Valor R$],DESPESAS[Mês],J$7,DESPESAS[Ano],$F$4,DESPESAS[Tipo de Gasto],$B11)</f>
        <v>980</v>
      </c>
      <c r="K11" s="37">
        <f>SUMIFS(DESPESAS[Valor R$],DESPESAS[Mês],K$7,DESPESAS[Ano],$F$4,DESPESAS[Tipo de Gasto],$B11)</f>
        <v>1500</v>
      </c>
      <c r="L11" s="37">
        <f>SUMIFS(DESPESAS[Valor R$],DESPESAS[Mês],L$7,DESPESAS[Ano],$F$4,DESPESAS[Tipo de Gasto],$B11)</f>
        <v>1090</v>
      </c>
      <c r="M11" s="37">
        <f>SUMIFS(DESPESAS[Valor R$],DESPESAS[Mês],M$7,DESPESAS[Ano],$F$4,DESPESAS[Tipo de Gasto],$B11)</f>
        <v>970</v>
      </c>
      <c r="N11" s="39">
        <f>SUMIFS(DESPESAS[Valor R$],DESPESAS[Mês],N$7,DESPESAS[Ano],$F$4,DESPESAS[Tipo de Gasto],$B11)</f>
        <v>990</v>
      </c>
      <c r="O11" s="50">
        <f t="shared" ref="O11:O19" si="1">SUM(C11:N11)</f>
        <v>5530</v>
      </c>
      <c r="P11" s="97"/>
    </row>
    <row r="12" spans="1:210" x14ac:dyDescent="0.25">
      <c r="B12" s="51" t="s">
        <v>8</v>
      </c>
      <c r="C12" s="33">
        <f>SUMIFS(DESPESAS[Valor R$],DESPESAS[Mês],C$7,DESPESAS[Ano],$F$4,DESPESAS[Tipo de Gasto],$B12)</f>
        <v>2880</v>
      </c>
      <c r="D12" s="33">
        <f>SUMIFS(DESPESAS[Valor R$],DESPESAS[Mês],D$7,DESPESAS[Ano],$F$4,DESPESAS[Tipo de Gasto],$B12)</f>
        <v>2050</v>
      </c>
      <c r="E12" s="33">
        <f>SUMIFS(DESPESAS[Valor R$],DESPESAS[Mês],E$7,DESPESAS[Ano],$F$4,DESPESAS[Tipo de Gasto],$B12)</f>
        <v>2750</v>
      </c>
      <c r="F12" s="33">
        <f>SUMIFS(DESPESAS[Valor R$],DESPESAS[Mês],F$7,DESPESAS[Ano],$F$4,DESPESAS[Tipo de Gasto],$B12)</f>
        <v>2050</v>
      </c>
      <c r="G12" s="33">
        <f>SUMIFS(DESPESAS[Valor R$],DESPESAS[Mês],G$7,DESPESAS[Ano],$F$4,DESPESAS[Tipo de Gasto],$B12)</f>
        <v>2050</v>
      </c>
      <c r="H12" s="33">
        <f>SUMIFS(DESPESAS[Valor R$],DESPESAS[Mês],H$7,DESPESAS[Ano],$F$4,DESPESAS[Tipo de Gasto],$B12)</f>
        <v>2050</v>
      </c>
      <c r="I12" s="33">
        <f>SUMIFS(DESPESAS[Valor R$],DESPESAS[Mês],I$7,DESPESAS[Ano],$F$4,DESPESAS[Tipo de Gasto],$B12)</f>
        <v>2050</v>
      </c>
      <c r="J12" s="34">
        <f>SUMIFS(DESPESAS[Valor R$],DESPESAS[Mês],J$7,DESPESAS[Ano],$F$4,DESPESAS[Tipo de Gasto],$B12)</f>
        <v>2050</v>
      </c>
      <c r="K12" s="33">
        <f>SUMIFS(DESPESAS[Valor R$],DESPESAS[Mês],K$7,DESPESAS[Ano],$F$4,DESPESAS[Tipo de Gasto],$B12)</f>
        <v>2050</v>
      </c>
      <c r="L12" s="33">
        <f>SUMIFS(DESPESAS[Valor R$],DESPESAS[Mês],L$7,DESPESAS[Ano],$F$4,DESPESAS[Tipo de Gasto],$B12)</f>
        <v>2050</v>
      </c>
      <c r="M12" s="33">
        <f>SUMIFS(DESPESAS[Valor R$],DESPESAS[Mês],M$7,DESPESAS[Ano],$F$4,DESPESAS[Tipo de Gasto],$B12)</f>
        <v>2050</v>
      </c>
      <c r="N12" s="35">
        <f>SUMIFS(DESPESAS[Valor R$],DESPESAS[Mês],N$7,DESPESAS[Ano],$F$4,DESPESAS[Tipo de Gasto],$B12)</f>
        <v>2050</v>
      </c>
      <c r="O12" s="52">
        <f t="shared" si="1"/>
        <v>26130</v>
      </c>
      <c r="P12" s="97"/>
    </row>
    <row r="13" spans="1:210" x14ac:dyDescent="0.25">
      <c r="B13" s="51" t="s">
        <v>13</v>
      </c>
      <c r="C13" s="33">
        <f>SUMIFS(DESPESAS[Valor R$],DESPESAS[Mês],C$7,DESPESAS[Ano],$F$4,DESPESAS[Tipo de Gasto],$B13)</f>
        <v>0</v>
      </c>
      <c r="D13" s="33">
        <f>SUMIFS(DESPESAS[Valor R$],DESPESAS[Mês],D$7,DESPESAS[Ano],$F$4,DESPESAS[Tipo de Gasto],$B13)</f>
        <v>0</v>
      </c>
      <c r="E13" s="33">
        <f>SUMIFS(DESPESAS[Valor R$],DESPESAS[Mês],E$7,DESPESAS[Ano],$F$4,DESPESAS[Tipo de Gasto],$B13)</f>
        <v>0</v>
      </c>
      <c r="F13" s="33">
        <f>SUMIFS(DESPESAS[Valor R$],DESPESAS[Mês],F$7,DESPESAS[Ano],$F$4,DESPESAS[Tipo de Gasto],$B13)</f>
        <v>245</v>
      </c>
      <c r="G13" s="33">
        <f>SUMIFS(DESPESAS[Valor R$],DESPESAS[Mês],G$7,DESPESAS[Ano],$F$4,DESPESAS[Tipo de Gasto],$B13)</f>
        <v>450</v>
      </c>
      <c r="H13" s="33">
        <f>SUMIFS(DESPESAS[Valor R$],DESPESAS[Mês],H$7,DESPESAS[Ano],$F$4,DESPESAS[Tipo de Gasto],$B13)</f>
        <v>0</v>
      </c>
      <c r="I13" s="33">
        <f>SUMIFS(DESPESAS[Valor R$],DESPESAS[Mês],I$7,DESPESAS[Ano],$F$4,DESPESAS[Tipo de Gasto],$B13)</f>
        <v>0</v>
      </c>
      <c r="J13" s="34">
        <f>SUMIFS(DESPESAS[Valor R$],DESPESAS[Mês],J$7,DESPESAS[Ano],$F$4,DESPESAS[Tipo de Gasto],$B13)</f>
        <v>0</v>
      </c>
      <c r="K13" s="33">
        <f>SUMIFS(DESPESAS[Valor R$],DESPESAS[Mês],K$7,DESPESAS[Ano],$F$4,DESPESAS[Tipo de Gasto],$B13)</f>
        <v>100</v>
      </c>
      <c r="L13" s="33">
        <f>SUMIFS(DESPESAS[Valor R$],DESPESAS[Mês],L$7,DESPESAS[Ano],$F$4,DESPESAS[Tipo de Gasto],$B13)</f>
        <v>100</v>
      </c>
      <c r="M13" s="33">
        <f>SUMIFS(DESPESAS[Valor R$],DESPESAS[Mês],M$7,DESPESAS[Ano],$F$4,DESPESAS[Tipo de Gasto],$B13)</f>
        <v>100</v>
      </c>
      <c r="N13" s="35">
        <f>SUMIFS(DESPESAS[Valor R$],DESPESAS[Mês],N$7,DESPESAS[Ano],$F$4,DESPESAS[Tipo de Gasto],$B13)</f>
        <v>350</v>
      </c>
      <c r="O13" s="52">
        <f t="shared" si="1"/>
        <v>1345</v>
      </c>
      <c r="P13" s="97"/>
    </row>
    <row r="14" spans="1:210" x14ac:dyDescent="0.25">
      <c r="B14" s="51" t="s">
        <v>84</v>
      </c>
      <c r="C14" s="33">
        <f>SUMIFS(DESPESAS[Valor R$],DESPESAS[Mês],C$7,DESPESAS[Ano],$F$4,DESPESAS[Tipo de Gasto],$B14)</f>
        <v>0</v>
      </c>
      <c r="D14" s="33">
        <f>SUMIFS(DESPESAS[Valor R$],DESPESAS[Mês],D$7,DESPESAS[Ano],$F$4,DESPESAS[Tipo de Gasto],$B14)</f>
        <v>1960</v>
      </c>
      <c r="E14" s="33">
        <f>SUMIFS(DESPESAS[Valor R$],DESPESAS[Mês],E$7,DESPESAS[Ano],$F$4,DESPESAS[Tipo de Gasto],$B14)</f>
        <v>0</v>
      </c>
      <c r="F14" s="33">
        <f>SUMIFS(DESPESAS[Valor R$],DESPESAS[Mês],F$7,DESPESAS[Ano],$F$4,DESPESAS[Tipo de Gasto],$B14)</f>
        <v>0</v>
      </c>
      <c r="G14" s="33">
        <f>SUMIFS(DESPESAS[Valor R$],DESPESAS[Mês],G$7,DESPESAS[Ano],$F$4,DESPESAS[Tipo de Gasto],$B14)</f>
        <v>0</v>
      </c>
      <c r="H14" s="33">
        <f>SUMIFS(DESPESAS[Valor R$],DESPESAS[Mês],H$7,DESPESAS[Ano],$F$4,DESPESAS[Tipo de Gasto],$B14)</f>
        <v>0</v>
      </c>
      <c r="I14" s="33">
        <f>SUMIFS(DESPESAS[Valor R$],DESPESAS[Mês],I$7,DESPESAS[Ano],$F$4,DESPESAS[Tipo de Gasto],$B14)</f>
        <v>0</v>
      </c>
      <c r="J14" s="34">
        <f>SUMIFS(DESPESAS[Valor R$],DESPESAS[Mês],J$7,DESPESAS[Ano],$F$4,DESPESAS[Tipo de Gasto],$B14)</f>
        <v>0</v>
      </c>
      <c r="K14" s="33">
        <f>SUMIFS(DESPESAS[Valor R$],DESPESAS[Mês],K$7,DESPESAS[Ano],$F$4,DESPESAS[Tipo de Gasto],$B14)</f>
        <v>0</v>
      </c>
      <c r="L14" s="33">
        <f>SUMIFS(DESPESAS[Valor R$],DESPESAS[Mês],L$7,DESPESAS[Ano],$F$4,DESPESAS[Tipo de Gasto],$B14)</f>
        <v>0</v>
      </c>
      <c r="M14" s="33">
        <f>SUMIFS(DESPESAS[Valor R$],DESPESAS[Mês],M$7,DESPESAS[Ano],$F$4,DESPESAS[Tipo de Gasto],$B14)</f>
        <v>0</v>
      </c>
      <c r="N14" s="35">
        <f>SUMIFS(DESPESAS[Valor R$],DESPESAS[Mês],N$7,DESPESAS[Ano],$F$4,DESPESAS[Tipo de Gasto],$B14)</f>
        <v>0</v>
      </c>
      <c r="O14" s="52">
        <f t="shared" si="1"/>
        <v>1960</v>
      </c>
      <c r="P14" s="97"/>
    </row>
    <row r="15" spans="1:210" x14ac:dyDescent="0.25">
      <c r="B15" s="51" t="s">
        <v>16</v>
      </c>
      <c r="C15" s="33">
        <f>SUMIFS(DESPESAS[Valor R$],DESPESAS[Mês],C$7,DESPESAS[Ano],$F$4,DESPESAS[Tipo de Gasto],$B15)</f>
        <v>0</v>
      </c>
      <c r="D15" s="33">
        <f>SUMIFS(DESPESAS[Valor R$],DESPESAS[Mês],D$7,DESPESAS[Ano],$F$4,DESPESAS[Tipo de Gasto],$B15)</f>
        <v>0</v>
      </c>
      <c r="E15" s="33">
        <f>SUMIFS(DESPESAS[Valor R$],DESPESAS[Mês],E$7,DESPESAS[Ano],$F$4,DESPESAS[Tipo de Gasto],$B15)</f>
        <v>0</v>
      </c>
      <c r="F15" s="33">
        <f>SUMIFS(DESPESAS[Valor R$],DESPESAS[Mês],F$7,DESPESAS[Ano],$F$4,DESPESAS[Tipo de Gasto],$B15)</f>
        <v>0</v>
      </c>
      <c r="G15" s="33">
        <f>SUMIFS(DESPESAS[Valor R$],DESPESAS[Mês],G$7,DESPESAS[Ano],$F$4,DESPESAS[Tipo de Gasto],$B15)</f>
        <v>0</v>
      </c>
      <c r="H15" s="33">
        <f>SUMIFS(DESPESAS[Valor R$],DESPESAS[Mês],H$7,DESPESAS[Ano],$F$4,DESPESAS[Tipo de Gasto],$B15)</f>
        <v>0</v>
      </c>
      <c r="I15" s="33">
        <f>SUMIFS(DESPESAS[Valor R$],DESPESAS[Mês],I$7,DESPESAS[Ano],$F$4,DESPESAS[Tipo de Gasto],$B15)</f>
        <v>0</v>
      </c>
      <c r="J15" s="34">
        <f>SUMIFS(DESPESAS[Valor R$],DESPESAS[Mês],J$7,DESPESAS[Ano],$F$4,DESPESAS[Tipo de Gasto],$B15)</f>
        <v>1000</v>
      </c>
      <c r="K15" s="33">
        <f>SUMIFS(DESPESAS[Valor R$],DESPESAS[Mês],K$7,DESPESAS[Ano],$F$4,DESPESAS[Tipo de Gasto],$B15)</f>
        <v>1000</v>
      </c>
      <c r="L15" s="33">
        <f>SUMIFS(DESPESAS[Valor R$],DESPESAS[Mês],L$7,DESPESAS[Ano],$F$4,DESPESAS[Tipo de Gasto],$B15)</f>
        <v>1000</v>
      </c>
      <c r="M15" s="33">
        <f>SUMIFS(DESPESAS[Valor R$],DESPESAS[Mês],M$7,DESPESAS[Ano],$F$4,DESPESAS[Tipo de Gasto],$B15)</f>
        <v>1000</v>
      </c>
      <c r="N15" s="35">
        <f>SUMIFS(DESPESAS[Valor R$],DESPESAS[Mês],N$7,DESPESAS[Ano],$F$4,DESPESAS[Tipo de Gasto],$B15)</f>
        <v>300</v>
      </c>
      <c r="O15" s="52">
        <f t="shared" si="1"/>
        <v>4300</v>
      </c>
      <c r="P15" s="97"/>
    </row>
    <row r="16" spans="1:210" x14ac:dyDescent="0.25">
      <c r="B16" s="51" t="s">
        <v>19</v>
      </c>
      <c r="C16" s="33">
        <f>SUMIFS(DESPESAS[Valor R$],DESPESAS[Mês],C$7,DESPESAS[Ano],$F$4,DESPESAS[Tipo de Gasto],$B16)</f>
        <v>490</v>
      </c>
      <c r="D16" s="33">
        <f>SUMIFS(DESPESAS[Valor R$],DESPESAS[Mês],D$7,DESPESAS[Ano],$F$4,DESPESAS[Tipo de Gasto],$B16)</f>
        <v>0</v>
      </c>
      <c r="E16" s="33">
        <f>SUMIFS(DESPESAS[Valor R$],DESPESAS[Mês],E$7,DESPESAS[Ano],$F$4,DESPESAS[Tipo de Gasto],$B16)</f>
        <v>100</v>
      </c>
      <c r="F16" s="33">
        <f>SUMIFS(DESPESAS[Valor R$],DESPESAS[Mês],F$7,DESPESAS[Ano],$F$4,DESPESAS[Tipo de Gasto],$B16)</f>
        <v>0</v>
      </c>
      <c r="G16" s="33">
        <f>SUMIFS(DESPESAS[Valor R$],DESPESAS[Mês],G$7,DESPESAS[Ano],$F$4,DESPESAS[Tipo de Gasto],$B16)</f>
        <v>0</v>
      </c>
      <c r="H16" s="33">
        <f>SUMIFS(DESPESAS[Valor R$],DESPESAS[Mês],H$7,DESPESAS[Ano],$F$4,DESPESAS[Tipo de Gasto],$B16)</f>
        <v>0</v>
      </c>
      <c r="I16" s="33">
        <f>SUMIFS(DESPESAS[Valor R$],DESPESAS[Mês],I$7,DESPESAS[Ano],$F$4,DESPESAS[Tipo de Gasto],$B16)</f>
        <v>0</v>
      </c>
      <c r="J16" s="34">
        <f>SUMIFS(DESPESAS[Valor R$],DESPESAS[Mês],J$7,DESPESAS[Ano],$F$4,DESPESAS[Tipo de Gasto],$B16)</f>
        <v>0</v>
      </c>
      <c r="K16" s="33">
        <f>SUMIFS(DESPESAS[Valor R$],DESPESAS[Mês],K$7,DESPESAS[Ano],$F$4,DESPESAS[Tipo de Gasto],$B16)</f>
        <v>680</v>
      </c>
      <c r="L16" s="33">
        <f>SUMIFS(DESPESAS[Valor R$],DESPESAS[Mês],L$7,DESPESAS[Ano],$F$4,DESPESAS[Tipo de Gasto],$B16)</f>
        <v>0</v>
      </c>
      <c r="M16" s="33">
        <f>SUMIFS(DESPESAS[Valor R$],DESPESAS[Mês],M$7,DESPESAS[Ano],$F$4,DESPESAS[Tipo de Gasto],$B16)</f>
        <v>0</v>
      </c>
      <c r="N16" s="35">
        <f>SUMIFS(DESPESAS[Valor R$],DESPESAS[Mês],N$7,DESPESAS[Ano],$F$4,DESPESAS[Tipo de Gasto],$B16)</f>
        <v>0</v>
      </c>
      <c r="O16" s="52">
        <f t="shared" si="1"/>
        <v>1270</v>
      </c>
      <c r="P16" s="97"/>
    </row>
    <row r="17" spans="1:16" x14ac:dyDescent="0.25">
      <c r="B17" s="51" t="s">
        <v>23</v>
      </c>
      <c r="C17" s="33">
        <f>SUMIFS(DESPESAS[Valor R$],DESPESAS[Mês],C$7,DESPESAS[Ano],$F$4,DESPESAS[Tipo de Gasto],$B17)</f>
        <v>0</v>
      </c>
      <c r="D17" s="33">
        <f>SUMIFS(DESPESAS[Valor R$],DESPESAS[Mês],D$7,DESPESAS[Ano],$F$4,DESPESAS[Tipo de Gasto],$B17)</f>
        <v>0</v>
      </c>
      <c r="E17" s="33">
        <f>SUMIFS(DESPESAS[Valor R$],DESPESAS[Mês],E$7,DESPESAS[Ano],$F$4,DESPESAS[Tipo de Gasto],$B17)</f>
        <v>0</v>
      </c>
      <c r="F17" s="33">
        <f>SUMIFS(DESPESAS[Valor R$],DESPESAS[Mês],F$7,DESPESAS[Ano],$F$4,DESPESAS[Tipo de Gasto],$B17)</f>
        <v>0</v>
      </c>
      <c r="G17" s="33">
        <f>SUMIFS(DESPESAS[Valor R$],DESPESAS[Mês],G$7,DESPESAS[Ano],$F$4,DESPESAS[Tipo de Gasto],$B17)</f>
        <v>1447</v>
      </c>
      <c r="H17" s="33">
        <f>SUMIFS(DESPESAS[Valor R$],DESPESAS[Mês],H$7,DESPESAS[Ano],$F$4,DESPESAS[Tipo de Gasto],$B17)</f>
        <v>0</v>
      </c>
      <c r="I17" s="33">
        <f>SUMIFS(DESPESAS[Valor R$],DESPESAS[Mês],I$7,DESPESAS[Ano],$F$4,DESPESAS[Tipo de Gasto],$B17)</f>
        <v>540</v>
      </c>
      <c r="J17" s="34">
        <f>SUMIFS(DESPESAS[Valor R$],DESPESAS[Mês],J$7,DESPESAS[Ano],$F$4,DESPESAS[Tipo de Gasto],$B17)</f>
        <v>0</v>
      </c>
      <c r="K17" s="33">
        <f>SUMIFS(DESPESAS[Valor R$],DESPESAS[Mês],K$7,DESPESAS[Ano],$F$4,DESPESAS[Tipo de Gasto],$B17)</f>
        <v>0</v>
      </c>
      <c r="L17" s="33">
        <f>SUMIFS(DESPESAS[Valor R$],DESPESAS[Mês],L$7,DESPESAS[Ano],$F$4,DESPESAS[Tipo de Gasto],$B17)</f>
        <v>100</v>
      </c>
      <c r="M17" s="33">
        <f>SUMIFS(DESPESAS[Valor R$],DESPESAS[Mês],M$7,DESPESAS[Ano],$F$4,DESPESAS[Tipo de Gasto],$B17)</f>
        <v>0</v>
      </c>
      <c r="N17" s="35">
        <f>SUMIFS(DESPESAS[Valor R$],DESPESAS[Mês],N$7,DESPESAS[Ano],$F$4,DESPESAS[Tipo de Gasto],$B17)</f>
        <v>0</v>
      </c>
      <c r="O17" s="52">
        <f t="shared" si="1"/>
        <v>2087</v>
      </c>
      <c r="P17" s="97"/>
    </row>
    <row r="18" spans="1:16" x14ac:dyDescent="0.25">
      <c r="B18" s="51" t="s">
        <v>24</v>
      </c>
      <c r="C18" s="33">
        <f>SUMIFS(DESPESAS[Valor R$],DESPESAS[Mês],C$7,DESPESAS[Ano],$F$4,DESPESAS[Tipo de Gasto],$B18)</f>
        <v>0</v>
      </c>
      <c r="D18" s="33">
        <f>SUMIFS(DESPESAS[Valor R$],DESPESAS[Mês],D$7,DESPESAS[Ano],$F$4,DESPESAS[Tipo de Gasto],$B18)</f>
        <v>0</v>
      </c>
      <c r="E18" s="33">
        <f>SUMIFS(DESPESAS[Valor R$],DESPESAS[Mês],E$7,DESPESAS[Ano],$F$4,DESPESAS[Tipo de Gasto],$B18)</f>
        <v>0</v>
      </c>
      <c r="F18" s="33">
        <f>SUMIFS(DESPESAS[Valor R$],DESPESAS[Mês],F$7,DESPESAS[Ano],$F$4,DESPESAS[Tipo de Gasto],$B18)</f>
        <v>0</v>
      </c>
      <c r="G18" s="33">
        <f>SUMIFS(DESPESAS[Valor R$],DESPESAS[Mês],G$7,DESPESAS[Ano],$F$4,DESPESAS[Tipo de Gasto],$B18)</f>
        <v>0</v>
      </c>
      <c r="H18" s="33">
        <f>SUMIFS(DESPESAS[Valor R$],DESPESAS[Mês],H$7,DESPESAS[Ano],$F$4,DESPESAS[Tipo de Gasto],$B18)</f>
        <v>265</v>
      </c>
      <c r="I18" s="33">
        <f>SUMIFS(DESPESAS[Valor R$],DESPESAS[Mês],I$7,DESPESAS[Ano],$F$4,DESPESAS[Tipo de Gasto],$B18)</f>
        <v>0</v>
      </c>
      <c r="J18" s="34">
        <f>SUMIFS(DESPESAS[Valor R$],DESPESAS[Mês],J$7,DESPESAS[Ano],$F$4,DESPESAS[Tipo de Gasto],$B18)</f>
        <v>350</v>
      </c>
      <c r="K18" s="33">
        <f>SUMIFS(DESPESAS[Valor R$],DESPESAS[Mês],K$7,DESPESAS[Ano],$F$4,DESPESAS[Tipo de Gasto],$B18)</f>
        <v>500</v>
      </c>
      <c r="L18" s="33">
        <f>SUMIFS(DESPESAS[Valor R$],DESPESAS[Mês],L$7,DESPESAS[Ano],$F$4,DESPESAS[Tipo de Gasto],$B18)</f>
        <v>0</v>
      </c>
      <c r="M18" s="33">
        <f>SUMIFS(DESPESAS[Valor R$],DESPESAS[Mês],M$7,DESPESAS[Ano],$F$4,DESPESAS[Tipo de Gasto],$B18)</f>
        <v>0</v>
      </c>
      <c r="N18" s="35">
        <f>SUMIFS(DESPESAS[Valor R$],DESPESAS[Mês],N$7,DESPESAS[Ano],$F$4,DESPESAS[Tipo de Gasto],$B18)</f>
        <v>0</v>
      </c>
      <c r="O18" s="52">
        <f t="shared" si="1"/>
        <v>1115</v>
      </c>
      <c r="P18" s="97"/>
    </row>
    <row r="19" spans="1:16" x14ac:dyDescent="0.25">
      <c r="B19" s="51" t="s">
        <v>85</v>
      </c>
      <c r="C19" s="33">
        <f>SUMIFS(DESPESAS[Valor R$],DESPESAS[Mês],C$7,DESPESAS[Ano],$F$4,DESPESAS[Tipo de Gasto],$B19)</f>
        <v>0</v>
      </c>
      <c r="D19" s="33">
        <f>SUMIFS(DESPESAS[Valor R$],DESPESAS[Mês],D$7,DESPESAS[Ano],$F$4,DESPESAS[Tipo de Gasto],$B19)</f>
        <v>480</v>
      </c>
      <c r="E19" s="33">
        <f>SUMIFS(DESPESAS[Valor R$],DESPESAS[Mês],E$7,DESPESAS[Ano],$F$4,DESPESAS[Tipo de Gasto],$B19)</f>
        <v>0</v>
      </c>
      <c r="F19" s="33">
        <f>SUMIFS(DESPESAS[Valor R$],DESPESAS[Mês],F$7,DESPESAS[Ano],$F$4,DESPESAS[Tipo de Gasto],$B19)</f>
        <v>0</v>
      </c>
      <c r="G19" s="33">
        <f>SUMIFS(DESPESAS[Valor R$],DESPESAS[Mês],G$7,DESPESAS[Ano],$F$4,DESPESAS[Tipo de Gasto],$B19)</f>
        <v>0</v>
      </c>
      <c r="H19" s="33">
        <f>SUMIFS(DESPESAS[Valor R$],DESPESAS[Mês],H$7,DESPESAS[Ano],$F$4,DESPESAS[Tipo de Gasto],$B19)</f>
        <v>0</v>
      </c>
      <c r="I19" s="33">
        <f>SUMIFS(DESPESAS[Valor R$],DESPESAS[Mês],I$7,DESPESAS[Ano],$F$4,DESPESAS[Tipo de Gasto],$B19)</f>
        <v>0</v>
      </c>
      <c r="J19" s="34">
        <f>SUMIFS(DESPESAS[Valor R$],DESPESAS[Mês],J$7,DESPESAS[Ano],$F$4,DESPESAS[Tipo de Gasto],$B19)</f>
        <v>0</v>
      </c>
      <c r="K19" s="33">
        <f>SUMIFS(DESPESAS[Valor R$],DESPESAS[Mês],K$7,DESPESAS[Ano],$F$4,DESPESAS[Tipo de Gasto],$B19)</f>
        <v>0</v>
      </c>
      <c r="L19" s="33">
        <f>SUMIFS(DESPESAS[Valor R$],DESPESAS[Mês],L$7,DESPESAS[Ano],$F$4,DESPESAS[Tipo de Gasto],$B19)</f>
        <v>0</v>
      </c>
      <c r="M19" s="33">
        <f>SUMIFS(DESPESAS[Valor R$],DESPESAS[Mês],M$7,DESPESAS[Ano],$F$4,DESPESAS[Tipo de Gasto],$B19)</f>
        <v>0</v>
      </c>
      <c r="N19" s="35">
        <f>SUMIFS(DESPESAS[Valor R$],DESPESAS[Mês],N$7,DESPESAS[Ano],$F$4,DESPESAS[Tipo de Gasto],$B19)</f>
        <v>0</v>
      </c>
      <c r="O19" s="52">
        <f t="shared" si="1"/>
        <v>480</v>
      </c>
      <c r="P19" s="97"/>
    </row>
    <row r="20" spans="1:16" ht="15.75" thickBot="1" x14ac:dyDescent="0.3">
      <c r="B20" s="53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5"/>
    </row>
    <row r="21" spans="1:16" x14ac:dyDescent="0.25">
      <c r="A21" s="56"/>
      <c r="B21" s="93" t="s">
        <v>47</v>
      </c>
      <c r="C21" s="94">
        <f>C8-C9-C10</f>
        <v>4700</v>
      </c>
      <c r="D21" s="94">
        <f t="shared" ref="D21:O21" si="2">D8-D9-D10</f>
        <v>2270</v>
      </c>
      <c r="E21" s="94">
        <f t="shared" si="2"/>
        <v>3470</v>
      </c>
      <c r="F21" s="94">
        <f t="shared" si="2"/>
        <v>7990</v>
      </c>
      <c r="G21" s="94">
        <f t="shared" si="2"/>
        <v>2723</v>
      </c>
      <c r="H21" s="94">
        <f t="shared" si="2"/>
        <v>5415</v>
      </c>
      <c r="I21" s="94">
        <f t="shared" si="2"/>
        <v>3275</v>
      </c>
      <c r="J21" s="94">
        <f t="shared" si="2"/>
        <v>3260</v>
      </c>
      <c r="K21" s="94">
        <f t="shared" si="2"/>
        <v>-1510</v>
      </c>
      <c r="L21" s="94">
        <f t="shared" si="2"/>
        <v>70</v>
      </c>
      <c r="M21" s="94">
        <f t="shared" si="2"/>
        <v>3810</v>
      </c>
      <c r="N21" s="94">
        <f t="shared" si="2"/>
        <v>7310</v>
      </c>
      <c r="O21" s="94">
        <f t="shared" si="2"/>
        <v>42783</v>
      </c>
      <c r="P21" s="98"/>
    </row>
    <row r="22" spans="1:16" ht="15.75" thickBot="1" x14ac:dyDescent="0.3"/>
    <row r="23" spans="1:16" x14ac:dyDescent="0.25">
      <c r="A23" s="56"/>
      <c r="B23" s="93" t="s">
        <v>44</v>
      </c>
      <c r="C23" s="94">
        <f>C21</f>
        <v>4700</v>
      </c>
      <c r="D23" s="94">
        <f>D21+C23</f>
        <v>6970</v>
      </c>
      <c r="E23" s="94">
        <f t="shared" ref="E23:N23" si="3">E21+D23</f>
        <v>10440</v>
      </c>
      <c r="F23" s="94">
        <f t="shared" si="3"/>
        <v>18430</v>
      </c>
      <c r="G23" s="94">
        <f t="shared" si="3"/>
        <v>21153</v>
      </c>
      <c r="H23" s="94">
        <f t="shared" si="3"/>
        <v>26568</v>
      </c>
      <c r="I23" s="94">
        <f t="shared" si="3"/>
        <v>29843</v>
      </c>
      <c r="J23" s="94">
        <f t="shared" si="3"/>
        <v>33103</v>
      </c>
      <c r="K23" s="94">
        <f t="shared" si="3"/>
        <v>31593</v>
      </c>
      <c r="L23" s="94">
        <f t="shared" si="3"/>
        <v>31663</v>
      </c>
      <c r="M23" s="94">
        <f t="shared" si="3"/>
        <v>35473</v>
      </c>
      <c r="N23" s="94">
        <f t="shared" si="3"/>
        <v>42783</v>
      </c>
      <c r="O23" s="100">
        <f>N23</f>
        <v>42783</v>
      </c>
      <c r="P23" s="98"/>
    </row>
    <row r="25" spans="1:16" ht="18" x14ac:dyDescent="0.35">
      <c r="A25" s="119"/>
      <c r="B25" s="120" t="s">
        <v>170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</row>
    <row r="28" spans="1:16" x14ac:dyDescent="0.25">
      <c r="A28" s="8" t="s">
        <v>169</v>
      </c>
    </row>
    <row r="29" spans="1:16" x14ac:dyDescent="0.25">
      <c r="A29" s="8" t="s">
        <v>106</v>
      </c>
    </row>
    <row r="30" spans="1:16" x14ac:dyDescent="0.25">
      <c r="A30" s="8" t="s">
        <v>42</v>
      </c>
    </row>
    <row r="31" spans="1:16" x14ac:dyDescent="0.25">
      <c r="A31" s="110">
        <f ca="1">SUMIFS(RECEITAS[Valor R$],RECEITAS[Origem],Auxiliar!AB2)+SUMIFS(DESPESAS[Valor R$],DESPESAS[Detalhamento],Auxiliar!AB2)+SUMIFS(INVEST[Valor R$],INVEST[Investimento],Auxiliar!AB2)</f>
        <v>192400</v>
      </c>
    </row>
    <row r="50" spans="11:11" x14ac:dyDescent="0.25">
      <c r="K50" t="s">
        <v>149</v>
      </c>
    </row>
  </sheetData>
  <conditionalFormatting sqref="C10:N10">
    <cfRule type="cellIs" dxfId="1" priority="7" operator="greaterThan">
      <formula>$O$4</formula>
    </cfRule>
  </conditionalFormatting>
  <pageMargins left="0.511811024" right="0.511811024" top="0.78740157499999996" bottom="0.78740157499999996" header="0.31496062000000002" footer="0.3149606200000000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3" name="Drop Down 3">
              <controlPr defaultSize="0" autoLine="0" autoPict="0">
                <anchor moveWithCells="1">
                  <from>
                    <xdr:col>7</xdr:col>
                    <xdr:colOff>238125</xdr:colOff>
                    <xdr:row>25</xdr:row>
                    <xdr:rowOff>95250</xdr:rowOff>
                  </from>
                  <to>
                    <xdr:col>9</xdr:col>
                    <xdr:colOff>161925</xdr:colOff>
                    <xdr:row>26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4" name="Drop Down 4">
              <controlPr defaultSize="0" autoLine="0" autoPict="0">
                <anchor moveWithCells="1">
                  <from>
                    <xdr:col>7</xdr:col>
                    <xdr:colOff>238125</xdr:colOff>
                    <xdr:row>27</xdr:row>
                    <xdr:rowOff>76200</xdr:rowOff>
                  </from>
                  <to>
                    <xdr:col>9</xdr:col>
                    <xdr:colOff>161925</xdr:colOff>
                    <xdr:row>28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whole" allowBlank="1" showInputMessage="1" showErrorMessage="1" errorTitle="Ano inserido não consta na base" error="Insira um ano em que exista registro na base." xr:uid="{1B520A03-8052-4030-B007-6E71B4013026}">
          <x14:formula1>
            <xm:f>Auxiliar!W2</xm:f>
          </x14:formula1>
          <x14:formula2>
            <xm:f>Auxiliar!W3</xm:f>
          </x14:formula2>
          <xm:sqref>F5</xm:sqref>
        </x14:dataValidation>
        <x14:dataValidation type="whole" allowBlank="1" showInputMessage="1" showErrorMessage="1" errorTitle="Ano inserido não consta na base" error="Insira um ano em que exista registro na aba Receitas ou Despesas." xr:uid="{5CA60EF4-5238-44EE-BCB6-02377BAF9B2F}">
          <x14:formula1>
            <xm:f>Auxiliar!W1</xm:f>
          </x14:formula1>
          <x14:formula2>
            <xm:f>Auxiliar!W2</xm:f>
          </x14:formula2>
          <xm:sqref>F4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71BB1-4845-4338-AE4A-AC27B8374437}">
  <sheetPr codeName="Planilha4"/>
  <dimension ref="B1:AA124"/>
  <sheetViews>
    <sheetView showGridLines="0" showRowColHeaders="0" topLeftCell="C1" zoomScale="80" zoomScaleNormal="80" workbookViewId="0">
      <selection activeCell="Q3" sqref="Q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0" defaultRowHeight="14.45" customHeight="1" zeroHeight="1" x14ac:dyDescent="0.25"/>
  <cols>
    <col min="1" max="1" width="8.85546875" hidden="1" customWidth="1"/>
    <col min="2" max="2" width="1.7109375" style="8" hidden="1" customWidth="1"/>
    <col min="3" max="3" width="8.85546875" style="137" customWidth="1"/>
    <col min="4" max="24" width="8.85546875" style="28" customWidth="1"/>
    <col min="25" max="25" width="10.28515625" style="28" customWidth="1"/>
    <col min="26" max="27" width="0" hidden="1" customWidth="1"/>
    <col min="28" max="16384" width="8.85546875" hidden="1"/>
  </cols>
  <sheetData>
    <row r="1" spans="2:25" ht="14.45" customHeight="1" x14ac:dyDescent="0.35">
      <c r="B1" s="104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</row>
    <row r="2" spans="2:25" ht="14.45" customHeight="1" x14ac:dyDescent="0.5">
      <c r="B2" s="104"/>
      <c r="C2" s="134"/>
      <c r="D2" s="135"/>
      <c r="E2" s="136"/>
    </row>
    <row r="3" spans="2:25" ht="14.45" customHeight="1" x14ac:dyDescent="0.35">
      <c r="B3" s="104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</row>
    <row r="4" spans="2:25" ht="14.45" customHeight="1" x14ac:dyDescent="0.35">
      <c r="B4" s="104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</row>
    <row r="5" spans="2:25" ht="15" x14ac:dyDescent="0.25">
      <c r="B5" s="104"/>
      <c r="D5" s="28" t="s">
        <v>149</v>
      </c>
    </row>
    <row r="6" spans="2:25" ht="15" x14ac:dyDescent="0.25">
      <c r="B6" s="104" t="s">
        <v>88</v>
      </c>
    </row>
    <row r="7" spans="2:25" ht="15" x14ac:dyDescent="0.25">
      <c r="B7" s="104" t="s">
        <v>86</v>
      </c>
    </row>
    <row r="8" spans="2:25" ht="15" x14ac:dyDescent="0.25">
      <c r="B8" s="104">
        <f>Auxiliar!AE2</f>
        <v>2024</v>
      </c>
    </row>
    <row r="9" spans="2:25" ht="15" x14ac:dyDescent="0.25">
      <c r="B9" s="104" t="str">
        <f>Auxiliar!Q15</f>
        <v>Todos</v>
      </c>
    </row>
    <row r="10" spans="2:25" ht="15" x14ac:dyDescent="0.25">
      <c r="B10" s="104"/>
    </row>
    <row r="11" spans="2:25" ht="15" x14ac:dyDescent="0.25">
      <c r="B11" s="104" t="str">
        <f>IF(B9="Todos","Resultado","Resultado")</f>
        <v>Resultado</v>
      </c>
    </row>
    <row r="12" spans="2:25" ht="15" x14ac:dyDescent="0.25">
      <c r="B12" s="104" t="str">
        <f>IF(B9="Todos","Porcentagem da Renda Gasta","Porcentagem da Renda Gasta")</f>
        <v>Porcentagem da Renda Gasta</v>
      </c>
    </row>
    <row r="13" spans="2:25" ht="15" x14ac:dyDescent="0.25">
      <c r="B13" s="104"/>
    </row>
    <row r="14" spans="2:25" ht="15" x14ac:dyDescent="0.25">
      <c r="B14" s="104"/>
    </row>
    <row r="15" spans="2:25" ht="15" x14ac:dyDescent="0.25">
      <c r="B15" s="104"/>
    </row>
    <row r="16" spans="2:25" ht="15" x14ac:dyDescent="0.25">
      <c r="B16" s="104" t="str">
        <f>IF(B9="Todos","Divisão de Receita - " &amp; B8,"Divisão de Receita - " &amp; LEFT(B9,3) &amp; "/" &amp; B8)</f>
        <v>Divisão de Receita - 2024</v>
      </c>
    </row>
    <row r="17" spans="2:2" ht="15" x14ac:dyDescent="0.25">
      <c r="B17" s="104">
        <f>Auxiliar!G2/Auxiliar!G1</f>
        <v>0.44056194888656403</v>
      </c>
    </row>
    <row r="18" spans="2:2" ht="15" x14ac:dyDescent="0.25">
      <c r="B18" s="104">
        <f>IF(Auxiliar!G3/Auxiliar!G1&lt;0,-Auxiliar!G3/Auxiliar!G1,Auxiliar!G3/Auxiliar!G1)</f>
        <v>0.13316395157674488</v>
      </c>
    </row>
    <row r="19" spans="2:2" ht="15" x14ac:dyDescent="0.25">
      <c r="B19" s="104"/>
    </row>
    <row r="20" spans="2:2" ht="15" x14ac:dyDescent="0.25">
      <c r="B20" s="104"/>
    </row>
    <row r="21" spans="2:2" ht="15" x14ac:dyDescent="0.25">
      <c r="B21" s="104"/>
    </row>
    <row r="22" spans="2:2" ht="15" x14ac:dyDescent="0.25">
      <c r="B22" s="104"/>
    </row>
    <row r="23" spans="2:2" ht="15" x14ac:dyDescent="0.25">
      <c r="B23" s="104"/>
    </row>
    <row r="24" spans="2:2" ht="15" x14ac:dyDescent="0.25">
      <c r="B24" s="104" t="str">
        <f>IF(B9="Todos","Divisão de Investimentos - " &amp; B8,"Divisão de Investimentos - " &amp; LEFT(B9,3) &amp; "/" &amp; B8)</f>
        <v>Divisão de Investimentos - 2024</v>
      </c>
    </row>
    <row r="25" spans="2:2" ht="15" x14ac:dyDescent="0.25">
      <c r="B25" s="104" t="str">
        <f>IF(B9="Todos","Divisão de Gastos - " &amp; B8,"Divisão de Gastos - " &amp; LEFT(B9,3) &amp; "/" &amp; B8)</f>
        <v>Divisão de Gastos - 2024</v>
      </c>
    </row>
    <row r="26" spans="2:2" ht="15" x14ac:dyDescent="0.25">
      <c r="B26" s="104" t="str">
        <f>IF(B9="Todos","Despesas Fixas vs Variáveis - " &amp; B8,"Despesa Fixas vs Variáveis  - " &amp; LEFT(B9,3) &amp; "/" &amp; B8)</f>
        <v>Despesas Fixas vs Variáveis - 2024</v>
      </c>
    </row>
    <row r="27" spans="2:2" ht="15" x14ac:dyDescent="0.25">
      <c r="B27" s="104"/>
    </row>
    <row r="28" spans="2:2" ht="15" x14ac:dyDescent="0.25">
      <c r="B28" s="104"/>
    </row>
    <row r="29" spans="2:2" ht="15" x14ac:dyDescent="0.25">
      <c r="B29" s="104"/>
    </row>
    <row r="30" spans="2:2" ht="15" x14ac:dyDescent="0.25">
      <c r="B30" s="104"/>
    </row>
    <row r="31" spans="2:2" ht="15" x14ac:dyDescent="0.25">
      <c r="B31" s="104"/>
    </row>
    <row r="32" spans="2:2" ht="15" x14ac:dyDescent="0.25">
      <c r="B32" s="104"/>
    </row>
    <row r="33" spans="2:2" ht="15" x14ac:dyDescent="0.25">
      <c r="B33" s="104"/>
    </row>
    <row r="34" spans="2:2" ht="15" x14ac:dyDescent="0.25">
      <c r="B34" s="104"/>
    </row>
    <row r="35" spans="2:2" ht="15" x14ac:dyDescent="0.25">
      <c r="B35" s="104"/>
    </row>
    <row r="36" spans="2:2" ht="15" x14ac:dyDescent="0.25">
      <c r="B36" s="104"/>
    </row>
    <row r="37" spans="2:2" ht="15" x14ac:dyDescent="0.25">
      <c r="B37" s="104"/>
    </row>
    <row r="38" spans="2:2" ht="15" x14ac:dyDescent="0.25">
      <c r="B38" s="104"/>
    </row>
    <row r="39" spans="2:2" ht="15" hidden="1" x14ac:dyDescent="0.25"/>
    <row r="40" spans="2:2" ht="15" hidden="1" x14ac:dyDescent="0.25"/>
    <row r="41" spans="2:2" ht="15" hidden="1" x14ac:dyDescent="0.25"/>
    <row r="42" spans="2:2" ht="15" hidden="1" x14ac:dyDescent="0.25"/>
    <row r="43" spans="2:2" ht="15" hidden="1" x14ac:dyDescent="0.25"/>
    <row r="44" spans="2:2" ht="15" hidden="1" x14ac:dyDescent="0.25"/>
    <row r="45" spans="2:2" ht="15" hidden="1" x14ac:dyDescent="0.25"/>
    <row r="46" spans="2:2" ht="15" hidden="1" x14ac:dyDescent="0.25"/>
    <row r="47" spans="2:2" ht="15" hidden="1" x14ac:dyDescent="0.25"/>
    <row r="48" spans="2:2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23" ht="14.45" customHeight="1" x14ac:dyDescent="0.25"/>
    <row r="124" ht="14.45" customHeight="1" x14ac:dyDescent="0.25"/>
  </sheetData>
  <pageMargins left="0.511811024" right="0.511811024" top="0.78740157499999996" bottom="0.78740157499999996" header="0.31496062000000002" footer="0.31496062000000002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3" name="Drop Down 3">
              <controlPr defaultSize="0" autoLine="0" autoPict="0">
                <anchor moveWithCells="1">
                  <from>
                    <xdr:col>3</xdr:col>
                    <xdr:colOff>209550</xdr:colOff>
                    <xdr:row>6</xdr:row>
                    <xdr:rowOff>123825</xdr:rowOff>
                  </from>
                  <to>
                    <xdr:col>5</xdr:col>
                    <xdr:colOff>352425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4" name="Drop Down 4">
              <controlPr defaultSize="0" autoLine="0" autoPict="0">
                <anchor moveWithCells="1">
                  <from>
                    <xdr:col>3</xdr:col>
                    <xdr:colOff>200025</xdr:colOff>
                    <xdr:row>4</xdr:row>
                    <xdr:rowOff>180975</xdr:rowOff>
                  </from>
                  <to>
                    <xdr:col>5</xdr:col>
                    <xdr:colOff>352425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C3F6-B3B2-4BDC-AAA9-D1AB7D42808D}">
  <sheetPr codeName="Planilha7"/>
  <dimension ref="N1:AC13"/>
  <sheetViews>
    <sheetView showGridLines="0" zoomScaleNormal="100" workbookViewId="0">
      <selection activeCell="N9" sqref="N9"/>
    </sheetView>
  </sheetViews>
  <sheetFormatPr defaultRowHeight="15" x14ac:dyDescent="0.25"/>
  <cols>
    <col min="1" max="1" width="4.42578125" customWidth="1"/>
    <col min="2" max="2" width="5.140625" customWidth="1"/>
    <col min="3" max="10" width="2.7109375" customWidth="1"/>
    <col min="11" max="12" width="2.140625" customWidth="1"/>
    <col min="13" max="13" width="2.7109375" customWidth="1"/>
    <col min="14" max="14" width="36.28515625" bestFit="1" customWidth="1"/>
    <col min="15" max="15" width="24" bestFit="1" customWidth="1"/>
    <col min="16" max="16" width="33.42578125" bestFit="1" customWidth="1"/>
    <col min="17" max="17" width="41.7109375" bestFit="1" customWidth="1"/>
    <col min="18" max="18" width="31.5703125" bestFit="1" customWidth="1"/>
    <col min="19" max="19" width="49.28515625" bestFit="1" customWidth="1"/>
    <col min="20" max="20" width="40.140625" bestFit="1" customWidth="1"/>
    <col min="21" max="21" width="38.85546875" bestFit="1" customWidth="1"/>
    <col min="22" max="22" width="40.140625" bestFit="1" customWidth="1"/>
    <col min="23" max="23" width="31.140625" bestFit="1" customWidth="1"/>
    <col min="24" max="24" width="41.42578125" bestFit="1" customWidth="1"/>
    <col min="27" max="27" width="21.140625" customWidth="1"/>
    <col min="29" max="29" width="19" customWidth="1"/>
  </cols>
  <sheetData>
    <row r="1" spans="14:29" x14ac:dyDescent="0.25">
      <c r="N1" s="70" t="s">
        <v>46</v>
      </c>
      <c r="O1" s="74" t="s">
        <v>78</v>
      </c>
      <c r="P1" s="71" t="s">
        <v>4</v>
      </c>
      <c r="Q1" s="101" t="s">
        <v>8</v>
      </c>
      <c r="R1" s="76" t="s">
        <v>13</v>
      </c>
      <c r="S1" s="101" t="s">
        <v>84</v>
      </c>
      <c r="T1" s="101" t="s">
        <v>16</v>
      </c>
      <c r="U1" s="101" t="s">
        <v>19</v>
      </c>
      <c r="V1" s="101" t="s">
        <v>23</v>
      </c>
      <c r="W1" s="76" t="s">
        <v>24</v>
      </c>
      <c r="X1" s="76" t="s">
        <v>85</v>
      </c>
      <c r="AA1" s="76" t="s">
        <v>110</v>
      </c>
      <c r="AC1" s="76" t="s">
        <v>114</v>
      </c>
    </row>
    <row r="2" spans="14:29" x14ac:dyDescent="0.25">
      <c r="N2" s="36" t="s">
        <v>0</v>
      </c>
      <c r="O2" s="73" t="s">
        <v>79</v>
      </c>
      <c r="P2" s="72" t="s">
        <v>5</v>
      </c>
      <c r="Q2" s="68" t="s">
        <v>49</v>
      </c>
      <c r="R2" s="77" t="s">
        <v>53</v>
      </c>
      <c r="S2" s="68" t="s">
        <v>54</v>
      </c>
      <c r="T2" s="68" t="s">
        <v>58</v>
      </c>
      <c r="U2" s="68" t="s">
        <v>62</v>
      </c>
      <c r="V2" s="68" t="s">
        <v>66</v>
      </c>
      <c r="W2" s="77" t="s">
        <v>70</v>
      </c>
      <c r="X2" s="77" t="s">
        <v>25</v>
      </c>
      <c r="AA2" s="77" t="s">
        <v>89</v>
      </c>
      <c r="AC2" s="77" t="s">
        <v>46</v>
      </c>
    </row>
    <row r="3" spans="14:29" x14ac:dyDescent="0.25">
      <c r="N3" s="36" t="s">
        <v>1</v>
      </c>
      <c r="O3" s="73" t="s">
        <v>80</v>
      </c>
      <c r="P3" s="72" t="s">
        <v>48</v>
      </c>
      <c r="Q3" s="68" t="s">
        <v>9</v>
      </c>
      <c r="R3" s="77" t="s">
        <v>14</v>
      </c>
      <c r="S3" s="68" t="s">
        <v>55</v>
      </c>
      <c r="T3" s="68" t="s">
        <v>17</v>
      </c>
      <c r="U3" s="68" t="s">
        <v>43</v>
      </c>
      <c r="V3" s="68" t="s">
        <v>67</v>
      </c>
      <c r="W3" s="77" t="s">
        <v>117</v>
      </c>
      <c r="X3" s="77" t="s">
        <v>26</v>
      </c>
      <c r="AA3" s="77" t="s">
        <v>111</v>
      </c>
      <c r="AC3" s="77" t="s">
        <v>78</v>
      </c>
    </row>
    <row r="4" spans="14:29" x14ac:dyDescent="0.25">
      <c r="N4" s="64" t="s">
        <v>2</v>
      </c>
      <c r="O4" s="73" t="s">
        <v>81</v>
      </c>
      <c r="P4" s="72" t="s">
        <v>6</v>
      </c>
      <c r="Q4" s="68" t="s">
        <v>10</v>
      </c>
      <c r="R4" s="75" t="s">
        <v>15</v>
      </c>
      <c r="S4" s="68" t="s">
        <v>56</v>
      </c>
      <c r="T4" s="68" t="s">
        <v>18</v>
      </c>
      <c r="U4" s="68" t="s">
        <v>20</v>
      </c>
      <c r="V4" s="68" t="s">
        <v>68</v>
      </c>
      <c r="W4" s="77" t="s">
        <v>118</v>
      </c>
      <c r="X4" s="77" t="s">
        <v>27</v>
      </c>
      <c r="AA4" s="77" t="s">
        <v>90</v>
      </c>
      <c r="AC4" s="77" t="s">
        <v>4</v>
      </c>
    </row>
    <row r="5" spans="14:29" x14ac:dyDescent="0.25">
      <c r="N5" s="68" t="s">
        <v>96</v>
      </c>
      <c r="O5" s="73" t="s">
        <v>82</v>
      </c>
      <c r="P5" s="62" t="s">
        <v>7</v>
      </c>
      <c r="Q5" s="68" t="s">
        <v>50</v>
      </c>
      <c r="S5" s="63" t="s">
        <v>57</v>
      </c>
      <c r="T5" s="68" t="s">
        <v>59</v>
      </c>
      <c r="U5" s="68" t="s">
        <v>21</v>
      </c>
      <c r="V5" s="63" t="s">
        <v>69</v>
      </c>
      <c r="W5" s="77" t="s">
        <v>71</v>
      </c>
      <c r="X5" s="77" t="s">
        <v>73</v>
      </c>
      <c r="AA5" s="75" t="s">
        <v>91</v>
      </c>
      <c r="AC5" s="77" t="s">
        <v>8</v>
      </c>
    </row>
    <row r="6" spans="14:29" x14ac:dyDescent="0.25">
      <c r="N6" s="68" t="s">
        <v>174</v>
      </c>
      <c r="O6" s="73" t="s">
        <v>101</v>
      </c>
      <c r="P6" s="77" t="s">
        <v>151</v>
      </c>
      <c r="Q6" s="68" t="s">
        <v>152</v>
      </c>
      <c r="T6" s="68" t="s">
        <v>60</v>
      </c>
      <c r="U6" s="68" t="s">
        <v>63</v>
      </c>
      <c r="V6" s="69"/>
      <c r="W6" s="75" t="s">
        <v>72</v>
      </c>
      <c r="X6" s="77" t="s">
        <v>28</v>
      </c>
      <c r="AA6" s="75"/>
      <c r="AC6" s="77" t="s">
        <v>13</v>
      </c>
    </row>
    <row r="7" spans="14:29" x14ac:dyDescent="0.25">
      <c r="N7" s="63"/>
      <c r="P7" s="62"/>
      <c r="Q7" s="68" t="s">
        <v>153</v>
      </c>
      <c r="T7" s="63" t="s">
        <v>61</v>
      </c>
      <c r="U7" s="68" t="s">
        <v>64</v>
      </c>
      <c r="X7" s="77" t="s">
        <v>29</v>
      </c>
      <c r="AC7" s="77" t="s">
        <v>84</v>
      </c>
    </row>
    <row r="8" spans="14:29" x14ac:dyDescent="0.25">
      <c r="Q8" s="68" t="s">
        <v>154</v>
      </c>
      <c r="U8" s="68" t="s">
        <v>65</v>
      </c>
      <c r="X8" s="77" t="s">
        <v>74</v>
      </c>
      <c r="AC8" s="77" t="s">
        <v>16</v>
      </c>
    </row>
    <row r="9" spans="14:29" x14ac:dyDescent="0.25">
      <c r="Q9" s="68" t="s">
        <v>11</v>
      </c>
      <c r="U9" s="102" t="s">
        <v>160</v>
      </c>
      <c r="X9" s="77" t="s">
        <v>75</v>
      </c>
      <c r="AC9" s="77" t="s">
        <v>19</v>
      </c>
    </row>
    <row r="10" spans="14:29" x14ac:dyDescent="0.25">
      <c r="Q10" s="68" t="s">
        <v>155</v>
      </c>
      <c r="U10" s="63" t="s">
        <v>22</v>
      </c>
      <c r="X10" s="77" t="s">
        <v>76</v>
      </c>
      <c r="AC10" s="77" t="s">
        <v>23</v>
      </c>
    </row>
    <row r="11" spans="14:29" x14ac:dyDescent="0.25">
      <c r="Q11" s="68" t="s">
        <v>12</v>
      </c>
      <c r="X11" s="75" t="s">
        <v>95</v>
      </c>
      <c r="AC11" s="77" t="s">
        <v>24</v>
      </c>
    </row>
    <row r="12" spans="14:29" x14ac:dyDescent="0.25">
      <c r="Q12" s="68" t="s">
        <v>51</v>
      </c>
      <c r="X12" s="75"/>
      <c r="AC12" s="75" t="s">
        <v>85</v>
      </c>
    </row>
    <row r="13" spans="14:29" x14ac:dyDescent="0.25">
      <c r="Q13" s="63" t="s">
        <v>52</v>
      </c>
    </row>
  </sheetData>
  <pageMargins left="0.511811024" right="0.511811024" top="0.78740157499999996" bottom="0.78740157499999996" header="0.31496062000000002" footer="0.31496062000000002"/>
  <drawing r:id="rId1"/>
  <tableParts count="1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7A83F-9BD6-4F3D-A4CD-4516958E1C78}">
  <sheetPr codeName="Planilha6"/>
  <dimension ref="A1:J19"/>
  <sheetViews>
    <sheetView showGridLines="0" zoomScaleNormal="100" workbookViewId="0">
      <pane ySplit="5" topLeftCell="A6" activePane="bottomLeft" state="frozen"/>
      <selection pane="bottomLeft" activeCell="C1" sqref="C1"/>
    </sheetView>
  </sheetViews>
  <sheetFormatPr defaultRowHeight="15" x14ac:dyDescent="0.25"/>
  <cols>
    <col min="1" max="1" width="22.42578125" customWidth="1"/>
    <col min="2" max="2" width="29.85546875" customWidth="1"/>
    <col min="3" max="3" width="26.7109375" bestFit="1" customWidth="1"/>
    <col min="4" max="4" width="26.85546875" bestFit="1" customWidth="1"/>
    <col min="5" max="5" width="11.140625" customWidth="1"/>
    <col min="6" max="6" width="18.42578125" customWidth="1"/>
    <col min="7" max="7" width="4.28515625" customWidth="1"/>
    <col min="8" max="8" width="16.7109375" bestFit="1" customWidth="1"/>
    <col min="9" max="9" width="12.85546875" customWidth="1"/>
    <col min="10" max="10" width="11.140625" customWidth="1"/>
  </cols>
  <sheetData>
    <row r="1" spans="1:10" ht="45" customHeight="1" x14ac:dyDescent="0.5">
      <c r="A1" s="4"/>
      <c r="B1" s="1"/>
      <c r="C1" s="1"/>
      <c r="D1" s="1"/>
      <c r="H1" s="18"/>
      <c r="I1" s="19"/>
    </row>
    <row r="2" spans="1:10" ht="22.15" customHeight="1" x14ac:dyDescent="0.5">
      <c r="A2" s="4"/>
      <c r="B2" s="1"/>
      <c r="D2" s="32">
        <f>SUBTOTAL(9,PróximosPagamentos[Valor R$])</f>
        <v>6250</v>
      </c>
    </row>
    <row r="3" spans="1:10" ht="22.15" customHeight="1" x14ac:dyDescent="0.5">
      <c r="A3" s="91" t="s">
        <v>132</v>
      </c>
      <c r="B3" s="1"/>
      <c r="D3" s="92" t="s">
        <v>42</v>
      </c>
      <c r="F3" s="20" t="s">
        <v>133</v>
      </c>
    </row>
    <row r="4" spans="1:10" ht="14.45" customHeight="1" x14ac:dyDescent="0.5">
      <c r="B4" s="2"/>
      <c r="C4" s="2"/>
      <c r="D4" s="2"/>
      <c r="H4" s="6"/>
      <c r="J4" s="3"/>
    </row>
    <row r="5" spans="1:10" ht="15.75" x14ac:dyDescent="0.25">
      <c r="A5" s="78" t="s">
        <v>123</v>
      </c>
      <c r="B5" s="79" t="s">
        <v>87</v>
      </c>
      <c r="C5" s="79" t="s">
        <v>125</v>
      </c>
      <c r="D5" s="79" t="s">
        <v>124</v>
      </c>
      <c r="E5" s="79" t="s">
        <v>86</v>
      </c>
      <c r="F5" s="80" t="s">
        <v>88</v>
      </c>
    </row>
    <row r="6" spans="1:10" x14ac:dyDescent="0.25">
      <c r="A6" s="22" t="s">
        <v>126</v>
      </c>
      <c r="B6" s="23">
        <v>2050</v>
      </c>
      <c r="C6" s="81">
        <v>45843</v>
      </c>
      <c r="D6" s="67" t="str">
        <f ca="1">IF(AND(PróximosPagamentos[[#This Row],[Data de Vencimento]]&gt;=TODAY()-WEEKDAY(TODAY(),2)+1,PróximosPagamentos[[#This Row],[Data de Vencimento]]&lt;=TODAY()-WEEKDAY(TODAY(),2)+7),"Pagar essa semana", "")</f>
        <v/>
      </c>
      <c r="E6" s="67" t="str">
        <f>TEXT(PróximosPagamentos[[#This Row],[Data de Vencimento]],"mmm")</f>
        <v>jul</v>
      </c>
      <c r="F6" s="24">
        <f>YEAR(PróximosPagamentos[[#This Row],[Data de Vencimento]])</f>
        <v>2025</v>
      </c>
    </row>
    <row r="7" spans="1:10" x14ac:dyDescent="0.25">
      <c r="A7" s="22" t="s">
        <v>127</v>
      </c>
      <c r="B7" s="23">
        <v>1000</v>
      </c>
      <c r="C7" s="81">
        <v>45839</v>
      </c>
      <c r="D7" s="67" t="str">
        <f ca="1">IF(AND(PróximosPagamentos[[#This Row],[Data de Vencimento]]&gt;=TODAY()-WEEKDAY(TODAY(),2)+1,PróximosPagamentos[[#This Row],[Data de Vencimento]]&lt;=TODAY()-WEEKDAY(TODAY(),2)+7),"Pagar essa semana", "")</f>
        <v/>
      </c>
      <c r="E7" s="67" t="str">
        <f>TEXT(PróximosPagamentos[[#This Row],[Data de Vencimento]],"mmm")</f>
        <v>jul</v>
      </c>
      <c r="F7" s="24">
        <f>YEAR(PróximosPagamentos[[#This Row],[Data de Vencimento]])</f>
        <v>2025</v>
      </c>
    </row>
    <row r="8" spans="1:10" x14ac:dyDescent="0.25">
      <c r="A8" s="22" t="s">
        <v>128</v>
      </c>
      <c r="B8" s="23">
        <v>1500</v>
      </c>
      <c r="C8" s="81">
        <v>45848</v>
      </c>
      <c r="D8" s="67" t="str">
        <f ca="1">IF(AND(PróximosPagamentos[[#This Row],[Data de Vencimento]]&gt;=TODAY()-WEEKDAY(TODAY(),2)+1,PróximosPagamentos[[#This Row],[Data de Vencimento]]&lt;=TODAY()-WEEKDAY(TODAY(),2)+7),"Pagar essa semana", "")</f>
        <v/>
      </c>
      <c r="E8" s="67" t="str">
        <f>TEXT(PróximosPagamentos[[#This Row],[Data de Vencimento]],"mmm")</f>
        <v>jul</v>
      </c>
      <c r="F8" s="24">
        <f>YEAR(PróximosPagamentos[[#This Row],[Data de Vencimento]])</f>
        <v>2025</v>
      </c>
    </row>
    <row r="9" spans="1:10" x14ac:dyDescent="0.25">
      <c r="A9" s="22" t="s">
        <v>129</v>
      </c>
      <c r="B9" s="23">
        <v>320</v>
      </c>
      <c r="C9" s="81">
        <v>45823</v>
      </c>
      <c r="D9" s="67" t="str">
        <f ca="1">IF(AND(PróximosPagamentos[[#This Row],[Data de Vencimento]]&gt;=TODAY()-WEEKDAY(TODAY(),2)+1,PróximosPagamentos[[#This Row],[Data de Vencimento]]&lt;=TODAY()-WEEKDAY(TODAY(),2)+7),"Pagar essa semana", "")</f>
        <v/>
      </c>
      <c r="E9" s="67" t="str">
        <f>TEXT(PróximosPagamentos[[#This Row],[Data de Vencimento]],"mmm")</f>
        <v>jun</v>
      </c>
      <c r="F9" s="24">
        <f>YEAR(PróximosPagamentos[[#This Row],[Data de Vencimento]])</f>
        <v>2025</v>
      </c>
    </row>
    <row r="10" spans="1:10" x14ac:dyDescent="0.25">
      <c r="A10" s="22" t="s">
        <v>130</v>
      </c>
      <c r="B10" s="23">
        <v>450</v>
      </c>
      <c r="C10" s="81">
        <v>45862</v>
      </c>
      <c r="D10" s="67" t="str">
        <f ca="1">IF(AND(PróximosPagamentos[[#This Row],[Data de Vencimento]]&gt;=TODAY()-WEEKDAY(TODAY(),2)+1,PróximosPagamentos[[#This Row],[Data de Vencimento]]&lt;=TODAY()-WEEKDAY(TODAY(),2)+7),"Pagar essa semana", "")</f>
        <v/>
      </c>
      <c r="E10" s="67" t="str">
        <f>TEXT(PróximosPagamentos[[#This Row],[Data de Vencimento]],"mmm")</f>
        <v>jul</v>
      </c>
      <c r="F10" s="24">
        <f>YEAR(PróximosPagamentos[[#This Row],[Data de Vencimento]])</f>
        <v>2025</v>
      </c>
    </row>
    <row r="11" spans="1:10" x14ac:dyDescent="0.25">
      <c r="A11" s="22" t="s">
        <v>131</v>
      </c>
      <c r="B11" s="23">
        <v>390</v>
      </c>
      <c r="C11" s="81">
        <v>45868</v>
      </c>
      <c r="D11" s="67" t="str">
        <f ca="1">IF(AND(PróximosPagamentos[[#This Row],[Data de Vencimento]]&gt;=TODAY()-WEEKDAY(TODAY(),2)+1,PróximosPagamentos[[#This Row],[Data de Vencimento]]&lt;=TODAY()-WEEKDAY(TODAY(),2)+7),"Pagar essa semana", "")</f>
        <v/>
      </c>
      <c r="E11" s="67" t="str">
        <f>TEXT(PróximosPagamentos[[#This Row],[Data de Vencimento]],"mmm")</f>
        <v>jul</v>
      </c>
      <c r="F11" s="24">
        <f>YEAR(PróximosPagamentos[[#This Row],[Data de Vencimento]])</f>
        <v>2025</v>
      </c>
    </row>
    <row r="12" spans="1:10" x14ac:dyDescent="0.25">
      <c r="A12" s="22" t="s">
        <v>134</v>
      </c>
      <c r="B12" s="23">
        <v>300</v>
      </c>
      <c r="C12" s="81">
        <v>45864</v>
      </c>
      <c r="D12" s="67" t="str">
        <f ca="1">IF(AND(PróximosPagamentos[[#This Row],[Data de Vencimento]]&gt;=TODAY()-WEEKDAY(TODAY(),2)+1,PróximosPagamentos[[#This Row],[Data de Vencimento]]&lt;=TODAY()-WEEKDAY(TODAY(),2)+7),"Pagar essa semana", "")</f>
        <v/>
      </c>
      <c r="E12" s="67" t="str">
        <f>TEXT(PróximosPagamentos[[#This Row],[Data de Vencimento]],"mmm")</f>
        <v>jul</v>
      </c>
      <c r="F12" s="24">
        <f>YEAR(PróximosPagamentos[[#This Row],[Data de Vencimento]])</f>
        <v>2025</v>
      </c>
    </row>
    <row r="13" spans="1:10" x14ac:dyDescent="0.25">
      <c r="A13" s="22" t="s">
        <v>135</v>
      </c>
      <c r="B13" s="23">
        <v>240</v>
      </c>
      <c r="C13" s="81">
        <v>45858</v>
      </c>
      <c r="D13" s="67" t="str">
        <f ca="1">IF(AND(PróximosPagamentos[[#This Row],[Data de Vencimento]]&gt;=TODAY()-WEEKDAY(TODAY(),2)+1,PróximosPagamentos[[#This Row],[Data de Vencimento]]&lt;=TODAY()-WEEKDAY(TODAY(),2)+7),"Pagar essa semana", "")</f>
        <v/>
      </c>
      <c r="E13" s="67" t="str">
        <f>TEXT(PróximosPagamentos[[#This Row],[Data de Vencimento]],"mmm")</f>
        <v>jul</v>
      </c>
      <c r="F13" s="24">
        <f>YEAR(PróximosPagamentos[[#This Row],[Data de Vencimento]])</f>
        <v>2025</v>
      </c>
    </row>
    <row r="19" spans="4:4" x14ac:dyDescent="0.25">
      <c r="D19" s="30"/>
    </row>
  </sheetData>
  <conditionalFormatting sqref="A6:F13">
    <cfRule type="expression" dxfId="0" priority="2">
      <formula>AND(ISNUMBER($C6), $C6&lt;TODAY())</formula>
    </cfRule>
  </conditionalFormatting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EE9CA-0598-4D4C-9BD9-83403FAF996B}">
  <sheetPr codeName="Planilha10"/>
  <dimension ref="B1:J22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.140625" customWidth="1"/>
    <col min="2" max="2" width="22.42578125" customWidth="1"/>
    <col min="3" max="3" width="20.42578125" bestFit="1" customWidth="1"/>
    <col min="4" max="4" width="23.5703125" customWidth="1"/>
    <col min="5" max="6" width="26.7109375" hidden="1" customWidth="1"/>
    <col min="7" max="7" width="17.28515625" bestFit="1" customWidth="1"/>
    <col min="8" max="8" width="21.7109375" customWidth="1"/>
    <col min="9" max="9" width="27.28515625" customWidth="1"/>
    <col min="10" max="10" width="18.85546875" bestFit="1" customWidth="1"/>
  </cols>
  <sheetData>
    <row r="1" spans="2:10" ht="45" customHeight="1" x14ac:dyDescent="0.5">
      <c r="B1" s="4"/>
      <c r="C1" s="1"/>
      <c r="D1" s="1"/>
      <c r="E1" s="1"/>
      <c r="F1" s="1"/>
      <c r="G1" s="1"/>
      <c r="I1" s="1"/>
      <c r="J1" s="1"/>
    </row>
    <row r="2" spans="2:10" ht="22.15" customHeight="1" x14ac:dyDescent="0.5">
      <c r="B2" s="4"/>
      <c r="C2" s="1"/>
      <c r="G2" s="16"/>
    </row>
    <row r="3" spans="2:10" ht="22.15" customHeight="1" x14ac:dyDescent="0.5">
      <c r="B3" s="4"/>
      <c r="C3" s="1"/>
      <c r="G3" s="16"/>
    </row>
    <row r="4" spans="2:10" ht="22.15" customHeight="1" x14ac:dyDescent="0.5">
      <c r="B4" s="4"/>
      <c r="C4" s="1"/>
      <c r="G4" s="16"/>
    </row>
    <row r="5" spans="2:10" ht="22.15" customHeight="1" x14ac:dyDescent="0.5">
      <c r="B5" s="4"/>
      <c r="C5" s="1"/>
      <c r="G5" s="16"/>
    </row>
    <row r="6" spans="2:10" ht="22.15" customHeight="1" x14ac:dyDescent="0.5">
      <c r="B6" s="4"/>
      <c r="C6" s="1"/>
      <c r="G6" s="16"/>
    </row>
    <row r="7" spans="2:10" ht="22.15" customHeight="1" x14ac:dyDescent="0.5">
      <c r="B7" s="4"/>
      <c r="C7" s="1"/>
      <c r="G7" s="16"/>
    </row>
    <row r="8" spans="2:10" ht="23.25" customHeight="1" x14ac:dyDescent="0.45">
      <c r="B8" s="91" t="s">
        <v>144</v>
      </c>
      <c r="C8" s="2"/>
      <c r="D8" s="2"/>
      <c r="E8" s="2"/>
      <c r="F8" s="2"/>
      <c r="G8" s="2"/>
      <c r="H8" s="2"/>
      <c r="I8" s="2"/>
      <c r="J8" s="2"/>
    </row>
    <row r="9" spans="2:10" ht="15.75" x14ac:dyDescent="0.25">
      <c r="B9" s="82" t="s">
        <v>146</v>
      </c>
      <c r="C9" s="83" t="s">
        <v>136</v>
      </c>
      <c r="D9" s="83" t="s">
        <v>137</v>
      </c>
      <c r="E9" s="83" t="s">
        <v>148</v>
      </c>
      <c r="F9" s="83" t="s">
        <v>147</v>
      </c>
      <c r="G9" s="83" t="s">
        <v>138</v>
      </c>
      <c r="H9" s="83" t="s">
        <v>139</v>
      </c>
      <c r="I9" s="83" t="s">
        <v>150</v>
      </c>
      <c r="J9" s="84" t="s">
        <v>140</v>
      </c>
    </row>
    <row r="10" spans="2:10" x14ac:dyDescent="0.25">
      <c r="B10" s="22" t="s">
        <v>141</v>
      </c>
      <c r="C10" s="23">
        <v>20000</v>
      </c>
      <c r="D10" s="85">
        <v>3000</v>
      </c>
      <c r="E10" s="86">
        <f>Metas[[#This Row],[Valor Acumulado R$]]/Metas[[#This Row],[Valor Total R$]]</f>
        <v>0.15</v>
      </c>
      <c r="F10" s="87">
        <f>1-Metas[[#This Row],[Acumulado (%)]]</f>
        <v>0.85</v>
      </c>
      <c r="G10" s="81">
        <v>46371</v>
      </c>
      <c r="H10" s="24">
        <f ca="1">IFERROR(INT((Metas[[#This Row],[Data Meta]] - TODAY()) / 30),"Data da Meta não existe")</f>
        <v>7</v>
      </c>
      <c r="I10" s="88">
        <f ca="1">IFERROR((Metas[[#This Row],[Valor Total R$]] - Metas[[#This Row],[Valor Acumulado R$]]) / Metas[[#This Row],[Prazo em Meses]], "")</f>
        <v>2428.5714285714284</v>
      </c>
      <c r="J10" s="24" t="str">
        <f>IF(Metas[[#This Row],[Valor Acumulado R$]]&gt;=Metas[[#This Row],[Valor Total R$]],"Valor em conta",IF(Metas[[#This Row],[Valor Acumulado R$]]=0,"Sem aportes","Em progresso"))</f>
        <v>Em progresso</v>
      </c>
    </row>
    <row r="11" spans="2:10" x14ac:dyDescent="0.25">
      <c r="B11" s="22" t="s">
        <v>142</v>
      </c>
      <c r="C11" s="23">
        <v>60000</v>
      </c>
      <c r="D11" s="85">
        <v>0</v>
      </c>
      <c r="E11" s="86">
        <f>Metas[[#This Row],[Valor Acumulado R$]]/Metas[[#This Row],[Valor Total R$]]</f>
        <v>0</v>
      </c>
      <c r="F11" s="87">
        <f>1-Metas[[#This Row],[Acumulado (%)]]</f>
        <v>1</v>
      </c>
      <c r="G11" s="81">
        <v>46388</v>
      </c>
      <c r="H11" s="24">
        <f ca="1">IFERROR(INT((Metas[[#This Row],[Data Meta]] - TODAY()) / 30),"Data da Meta não existe")</f>
        <v>7</v>
      </c>
      <c r="I11" s="88">
        <f ca="1">IFERROR((Metas[[#This Row],[Valor Total R$]] - Metas[[#This Row],[Valor Acumulado R$]]) / Metas[[#This Row],[Prazo em Meses]], "")</f>
        <v>8571.4285714285706</v>
      </c>
      <c r="J11" s="24" t="str">
        <f>IF(Metas[[#This Row],[Valor Acumulado R$]]&gt;=Metas[[#This Row],[Valor Total R$]],"Valor em conta",IF(Metas[[#This Row],[Valor Acumulado R$]]=0,"Sem aportes","Em progresso"))</f>
        <v>Sem aportes</v>
      </c>
    </row>
    <row r="12" spans="2:10" x14ac:dyDescent="0.25">
      <c r="B12" s="22" t="s">
        <v>143</v>
      </c>
      <c r="C12" s="23">
        <v>30000</v>
      </c>
      <c r="D12" s="85">
        <v>30000</v>
      </c>
      <c r="E12" s="86">
        <f>Metas[[#This Row],[Valor Acumulado R$]]/Metas[[#This Row],[Valor Total R$]]</f>
        <v>1</v>
      </c>
      <c r="F12" s="87">
        <f>1-Metas[[#This Row],[Acumulado (%)]]</f>
        <v>0</v>
      </c>
      <c r="G12" s="81">
        <v>46174</v>
      </c>
      <c r="H12" s="24">
        <f ca="1">IFERROR(INT((Metas[[#This Row],[Data Meta]] - TODAY()) / 30),"Data da Meta não existe")</f>
        <v>0</v>
      </c>
      <c r="I12" s="88" t="str">
        <f ca="1">IFERROR((Metas[[#This Row],[Valor Total R$]] - Metas[[#This Row],[Valor Acumulado R$]]) / Metas[[#This Row],[Prazo em Meses]], "")</f>
        <v/>
      </c>
      <c r="J12" s="24" t="str">
        <f>IF(Metas[[#This Row],[Valor Acumulado R$]]&gt;=Metas[[#This Row],[Valor Total R$]],"Valor em conta",IF(Metas[[#This Row],[Valor Acumulado R$]]=0,"Sem aportes","Em progresso"))</f>
        <v>Valor em conta</v>
      </c>
    </row>
    <row r="13" spans="2:10" x14ac:dyDescent="0.25">
      <c r="B13" s="22" t="s">
        <v>145</v>
      </c>
      <c r="C13" s="23">
        <v>400000</v>
      </c>
      <c r="D13" s="85">
        <v>90000</v>
      </c>
      <c r="E13" s="86">
        <f>Metas[[#This Row],[Valor Acumulado R$]]/Metas[[#This Row],[Valor Total R$]]</f>
        <v>0.22500000000000001</v>
      </c>
      <c r="F13" s="87">
        <f>1-Metas[[#This Row],[Acumulado (%)]]</f>
        <v>0.77500000000000002</v>
      </c>
      <c r="G13" s="81">
        <v>48853</v>
      </c>
      <c r="H13" s="24">
        <f ca="1">IFERROR(INT((Metas[[#This Row],[Data Meta]] - TODAY()) / 30),"Data da Meta não existe")</f>
        <v>89</v>
      </c>
      <c r="I13" s="88">
        <f ca="1">IFERROR((Metas[[#This Row],[Valor Total R$]] - Metas[[#This Row],[Valor Acumulado R$]]) / Metas[[#This Row],[Prazo em Meses]], "")</f>
        <v>3483.1460674157302</v>
      </c>
      <c r="J13" s="24" t="str">
        <f>IF(Metas[[#This Row],[Valor Acumulado R$]]&gt;=Metas[[#This Row],[Valor Total R$]],"Valor em conta",IF(Metas[[#This Row],[Valor Acumulado R$]]=0,"Sem aportes","Em progresso"))</f>
        <v>Em progresso</v>
      </c>
    </row>
    <row r="14" spans="2:10" x14ac:dyDescent="0.25">
      <c r="G14" t="s">
        <v>149</v>
      </c>
    </row>
    <row r="17" spans="2:9" ht="24" x14ac:dyDescent="0.45">
      <c r="B17" s="91" t="s">
        <v>3</v>
      </c>
      <c r="I17" s="21"/>
    </row>
    <row r="18" spans="2:9" ht="16.5" thickBot="1" x14ac:dyDescent="0.35">
      <c r="B18" s="99" t="s">
        <v>156</v>
      </c>
      <c r="D18" s="99" t="s">
        <v>157</v>
      </c>
    </row>
    <row r="19" spans="2:9" ht="15.75" thickBot="1" x14ac:dyDescent="0.3">
      <c r="B19" s="117">
        <v>500</v>
      </c>
      <c r="D19" s="118">
        <v>7.2800000000000004E-2</v>
      </c>
      <c r="G19" t="s">
        <v>164</v>
      </c>
      <c r="I19" s="21"/>
    </row>
    <row r="20" spans="2:9" x14ac:dyDescent="0.25">
      <c r="I20" s="21"/>
    </row>
    <row r="21" spans="2:9" ht="16.5" thickBot="1" x14ac:dyDescent="0.35">
      <c r="B21" s="99" t="s">
        <v>161</v>
      </c>
      <c r="D21" s="99" t="s">
        <v>158</v>
      </c>
      <c r="H21" s="99" t="s">
        <v>159</v>
      </c>
    </row>
    <row r="22" spans="2:9" ht="15.75" thickBot="1" x14ac:dyDescent="0.3">
      <c r="B22" s="116">
        <v>30</v>
      </c>
      <c r="D22" s="115">
        <f>FV(D19/12,B22*12,-B19)</f>
        <v>644781.77943379851</v>
      </c>
      <c r="H22" s="103">
        <f>(D22*D19)/12</f>
        <v>3911.6761285650446</v>
      </c>
    </row>
  </sheetData>
  <pageMargins left="0.511811024" right="0.511811024" top="0.78740157499999996" bottom="0.78740157499999996" header="0.31496062000000002" footer="0.31496062000000002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Receitas</vt:lpstr>
      <vt:lpstr>Despesas</vt:lpstr>
      <vt:lpstr>Investimentos</vt:lpstr>
      <vt:lpstr>Auxiliar</vt:lpstr>
      <vt:lpstr>Real</vt:lpstr>
      <vt:lpstr>Dashboard</vt:lpstr>
      <vt:lpstr>Cadastros</vt:lpstr>
      <vt:lpstr>Cronograma de Pagamentos</vt:lpstr>
      <vt:lpstr>Metas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JEOVA ALMEIDA LISBOA</cp:lastModifiedBy>
  <dcterms:created xsi:type="dcterms:W3CDTF">2020-07-24T06:32:34Z</dcterms:created>
  <dcterms:modified xsi:type="dcterms:W3CDTF">2026-05-14T20:21:12Z</dcterms:modified>
</cp:coreProperties>
</file>